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 activeTab="1"/>
  </bookViews>
  <sheets>
    <sheet name="სამუშაო რვეული-ნაერთი" sheetId="6" r:id="rId1"/>
    <sheet name="დეკლარაცია - ნაერთი" sheetId="8" r:id="rId2"/>
  </sheets>
  <calcPr calcId="152511"/>
</workbook>
</file>

<file path=xl/calcChain.xml><?xml version="1.0" encoding="utf-8"?>
<calcChain xmlns="http://schemas.openxmlformats.org/spreadsheetml/2006/main">
  <c r="E82" i="8" l="1"/>
  <c r="E84" i="8"/>
  <c r="D83" i="8"/>
  <c r="E83" i="8"/>
  <c r="F83" i="8"/>
  <c r="G83" i="8"/>
  <c r="C83" i="8"/>
  <c r="E81" i="8"/>
  <c r="F81" i="8"/>
  <c r="G81" i="8"/>
  <c r="C81" i="8"/>
  <c r="G172" i="6"/>
  <c r="H172" i="6"/>
  <c r="F172" i="6"/>
  <c r="C172" i="6"/>
  <c r="H168" i="6"/>
  <c r="H169" i="6"/>
  <c r="H171" i="6"/>
  <c r="F67" i="8"/>
  <c r="F68" i="8"/>
  <c r="G167" i="6" l="1"/>
  <c r="D170" i="6"/>
  <c r="G82" i="8" l="1"/>
  <c r="G84" i="8"/>
  <c r="H170" i="6"/>
  <c r="D167" i="6"/>
  <c r="F167" i="6"/>
  <c r="C167" i="6"/>
  <c r="H165" i="6"/>
  <c r="H83" i="8" s="1"/>
  <c r="H163" i="6"/>
  <c r="H162" i="6"/>
  <c r="F161" i="6"/>
  <c r="C161" i="6"/>
  <c r="D150" i="6"/>
  <c r="H150" i="6" l="1"/>
  <c r="H81" i="8" s="1"/>
  <c r="D81" i="8"/>
  <c r="C82" i="8"/>
  <c r="C84" i="8"/>
  <c r="F82" i="8"/>
  <c r="F84" i="8"/>
  <c r="D82" i="8"/>
  <c r="D84" i="8"/>
  <c r="H161" i="6"/>
  <c r="H167" i="6"/>
  <c r="H17" i="6"/>
  <c r="H48" i="6"/>
  <c r="G20" i="8" s="1"/>
  <c r="H82" i="8" l="1"/>
  <c r="H84" i="8"/>
  <c r="H128" i="6"/>
  <c r="G40" i="8" s="1"/>
  <c r="F25" i="8" l="1"/>
  <c r="G45" i="8"/>
  <c r="G44" i="8"/>
  <c r="H35" i="8"/>
  <c r="G29" i="8"/>
  <c r="G28" i="8"/>
  <c r="F27" i="8"/>
  <c r="F26" i="8"/>
  <c r="F24" i="8"/>
  <c r="F23" i="8"/>
  <c r="G19" i="8"/>
  <c r="F14" i="8"/>
  <c r="G22" i="8" l="1"/>
  <c r="H103" i="6"/>
  <c r="H30" i="6"/>
  <c r="F11" i="8"/>
  <c r="H56" i="8"/>
  <c r="H114" i="6" l="1"/>
  <c r="H33" i="8" s="1"/>
  <c r="H110" i="6"/>
  <c r="G32" i="8" s="1"/>
  <c r="H104" i="6"/>
  <c r="H31" i="8" l="1"/>
  <c r="H35" i="6"/>
  <c r="G18" i="8" s="1"/>
  <c r="H29" i="6"/>
  <c r="G16" i="8" s="1"/>
  <c r="H24" i="6"/>
  <c r="F15" i="8" s="1"/>
  <c r="H18" i="6"/>
  <c r="F12" i="8" s="1"/>
  <c r="H55" i="8"/>
  <c r="G60" i="8" l="1"/>
  <c r="H58" i="8"/>
  <c r="G39" i="8" s="1"/>
  <c r="H43" i="8"/>
  <c r="G10" i="8"/>
  <c r="F7" i="8"/>
  <c r="G6" i="8" s="1"/>
  <c r="H38" i="8" l="1"/>
  <c r="H124" i="6"/>
  <c r="H21" i="8"/>
  <c r="H17" i="8"/>
  <c r="G13" i="8"/>
  <c r="H5" i="8" s="1"/>
  <c r="H34" i="8" l="1"/>
  <c r="H36" i="8" l="1"/>
  <c r="H37" i="8" s="1"/>
  <c r="H42" i="8" s="1"/>
  <c r="H47" i="8" s="1"/>
</calcChain>
</file>

<file path=xl/sharedStrings.xml><?xml version="1.0" encoding="utf-8"?>
<sst xmlns="http://schemas.openxmlformats.org/spreadsheetml/2006/main" count="437" uniqueCount="238">
  <si>
    <t xml:space="preserve"> III ნაწილი</t>
  </si>
  <si>
    <t xml:space="preserve">                                      მოგების გადასახადის გაანგარიშება (ლარი)</t>
  </si>
  <si>
    <t>თანხა</t>
  </si>
  <si>
    <t>განაწილებული მოგება</t>
  </si>
  <si>
    <t>განაწილებული დივიდენდი, მათ შორის:</t>
  </si>
  <si>
    <t>16.1.1</t>
  </si>
  <si>
    <t>2008 წლის 1 იანვრიდან 2017 წლის 1 იანვრამდე  საანგარიშო პერიოდებში მიღებული წმინდა მოგებიდან განაწილებული დივიდენდი</t>
  </si>
  <si>
    <t>არარეზიდენტი საწარმოს მიერ მისი  მუდმივი
დაწესებულებისათვის მიკუთვნებული მოგების გატანა</t>
  </si>
  <si>
    <t>ურთიერთდამოკიდებულ პირებთან (რომელიც მოგების გადასახადით არ იბეგრება საგადასახადო კოდექსის 97-ე მუხლის პირველი და მე-3 ნაწილებით გათვალისწინებული დაბეგვრის ობიექტების მიხედვით) განხორციელებული ოპერაცი(ებ)ის ფარგლებში გარიგების ფასსა და საბაზრო ფასს შორის სხვაობის თანხა, როდესაც მათი ურთიერთდამოკიდებულება გავლენას ახდენს გარიგების შედეგზე. კერძოდ:</t>
  </si>
  <si>
    <t>16.3.1</t>
  </si>
  <si>
    <t>გარიგების საბაზრო ფასსა და მიღებულ/მისაღებ შემოსავალს შორის სხვაობა, თუ გარიგების საბაზრო ფასი აღემატება მიღებულ/მისაღებ შემოსავალს</t>
  </si>
  <si>
    <t>16.3.2</t>
  </si>
  <si>
    <t>გარიგების შედეგად გაწეულ ხარჯსა და გარიგების საბაზრო ფასს შორის სხვაობა, თუ გარიგების შედეგად გაწეული ხარჯი აღემატება გარიგების საბაზრო ფასს</t>
  </si>
  <si>
    <t>16.4.1</t>
  </si>
  <si>
    <t>16.4.2</t>
  </si>
  <si>
    <t>განხორციელებული კონტროლირებული ოპერაციის კორექტირების თანხა, თუ ამ ოპერაციის დადგენილი პირობები არ შეესაბამება საბაზრო პრინციპს</t>
  </si>
  <si>
    <t>17.1</t>
  </si>
  <si>
    <t>დოკუმენტურად დაუდასტურებელი ხარჯი</t>
  </si>
  <si>
    <t>17.2</t>
  </si>
  <si>
    <t>ხარჯი, რომლის გაწევის მიზანი არ არის მოგების, შემოსავლის ან კომპენსაციის მიღება;</t>
  </si>
  <si>
    <t>17.3</t>
  </si>
  <si>
    <t>სხვა ხარჯი</t>
  </si>
  <si>
    <t>18.1</t>
  </si>
  <si>
    <t>შეღავათიანი დაბეგვრის მქონე ქვეყანაში რეგისტრირებული  ან/და საქართველოს საგადასახადო კოდექსის შესაბამისად მოგების გადასახადისგან გათავისუფლებული:</t>
  </si>
  <si>
    <t>18.1.1</t>
  </si>
  <si>
    <t>18.1.2</t>
  </si>
  <si>
    <t>18.1.3</t>
  </si>
  <si>
    <t>18.1.4</t>
  </si>
  <si>
    <t>18.1.5</t>
  </si>
  <si>
    <t>18.2</t>
  </si>
  <si>
    <t>18.3</t>
  </si>
  <si>
    <t>ფიზიკური პირისათვის ან არარეზიდენტისათვის სესხის გაცემა ან/და პარტნიორი ფიზიკური პირის ან პარტნიორი არარეზიდენტის მიერ მესამე პირისაგან აღებული სესხის საბანკო ანგარიშზე განთავსებული ფულადი სახსრებით უზრუნველყოფა</t>
  </si>
  <si>
    <t>18.4</t>
  </si>
  <si>
    <t>19</t>
  </si>
  <si>
    <t>საქონლის მომსახურების უსასყიდლო მიწოდება/გაწევა, ფულადი სახსრების  გადაცემა, მათ შორის:</t>
  </si>
  <si>
    <t>სასაქონლო-მატერიალური ფასეულობის ან/და ძირითადი საშუალების დანაკლისი</t>
  </si>
  <si>
    <t>წარმომადგენლობითი ხარჯი, რომელიც აღემატება საქართველოს საგადასახადო კოდექსით განსაზღვრულ ზღვრულ ოდენობას</t>
  </si>
  <si>
    <t>სულ დაბეგვრის ობიექტის თანხა</t>
  </si>
  <si>
    <t>მოგების გადასახადისგან გათავისუფლებული მოგების განაწილება, გაწეული ხარჯი, განხორციელებული განაცემი</t>
  </si>
  <si>
    <t>მოგების გადასახადით დასაბეგრი თანხა ((სტ.21-სტ.22)/0,85)</t>
  </si>
  <si>
    <t>მოგების გადასახადი (სტ.23*15%)</t>
  </si>
  <si>
    <t>გადახდილი მოგების გადასახადი, რომელიც ექვემდებარება ჩათვლას, მათ შორის:</t>
  </si>
  <si>
    <t>25.1</t>
  </si>
  <si>
    <t xml:space="preserve">მოგების გადასახადი სტ.25-ის გათვალისწინებით </t>
  </si>
  <si>
    <t xml:space="preserve">შესამცირებელი (დასაბრუნებელი) მოგების გადასახადი
 ((სტ. 27.1+სტ.27.2+სტ.27.3)/0.85*15%)
</t>
  </si>
  <si>
    <t xml:space="preserve">შეძენილი სასესხო ფასიანი ქაღალდის, კაპიტალში მონაწილეობის უფლების (აქციის/წილის) ან მოთხოვნის მიწოდების შედეგად  საანგარიშო პერიოდში ანაზღაურებული თანხა (ფაქტობრივად მიღებული თანხა) </t>
  </si>
  <si>
    <t>გაცემული სესხის/გადახდილი ავანსის  დაბრუნებული თანხა ან გადახდილი ავანსის სანაცვლოდ მიღებული საქონლის/მომსახურების საკომპენსაციო თანხა საანგარიშო პერიოდში</t>
  </si>
  <si>
    <t>სესხის საბანკო ანგარიშზე განთავსებული ფულადი სახსრებით უზრუნველყოფის გაუქმებისას  უზრუნველყოფის გაუქმების საანგარიშო პერიოდში გაუქმებული საბანკო ანგარიშზე განთავსებული ფულადი სახსრებით უზრუნველყოფის თანხა</t>
  </si>
  <si>
    <t>კუთვნილი მოგების გადასახადი</t>
  </si>
  <si>
    <t>დაბრუნებას დაქვემდებარებული მოგების გადასახადი</t>
  </si>
  <si>
    <t>N</t>
  </si>
  <si>
    <t>შინაარსი</t>
  </si>
  <si>
    <t>ლარი</t>
  </si>
  <si>
    <t>ჩასათვლელი თანხა (სტ.1*სტ.2/(სტ.3-სტ.4))</t>
  </si>
  <si>
    <t>16.1.2</t>
  </si>
  <si>
    <t>კომერციული ბანკის, საკრედიტო კავშირის, მიკროსაფინანსო ორგანიზაციის ან ლომბარდის მიერ პარტნიორ არარეზიდენტზე ან/და საგადასახადო კოდექსის შესაბამისად მოგების გადასახადისაგან გათავისუფლებულ პარტნიორზე ან/და კაპიტალში არანაკლებ 1 პროცენტით მონაწილეობის უფლების მქონე პარტნიორ ფიზიკურ პირზე სესხის გაცემა ან/და პარტნიორის მიერ მესამე პირისაგან აღებული სესხის საბანკო ანგარიშზე განთავსებული ფულადი სახსრებით უზრუნველყოფა</t>
  </si>
  <si>
    <t>2017 წლის 1 იანვრიდან საქართველოს საგადასახადო კოდექსის 309-ე მუხლის 94-ე ნაწილით გათვალისწინებული პირის სტატუსის დაკარგვამდე იმ საანგარიშო პერიოდებში მიღებული წმინდა მოგებიდან განაწილებული დივიდენდი, როდესაც პირი მოგების გადასახადით იბეგრებოდა საქართველოს საგადასახადო კოდექსის 309-ე მუხლის 95-ე ნაწილით გათვალისწინებული დაბეგვრის ობიექტის მიხედვით</t>
  </si>
  <si>
    <t>დანართი 1</t>
  </si>
  <si>
    <t>2008 წლის 1 იანვრიდან 2017 წლის 1 იანვრამდე მიღებული წმინდა მოგებიდან დივიდენდის განაწილებისას ამავე საანგარიშო პერიოდების მიხედვით დარიცხული და გადახდილი მოგების გადასახადის თანხა, რომელიც ექვემდებარება ჩათვლას</t>
  </si>
  <si>
    <t>2008 წლის 1 იანვრიდან 2017 წლის 1 იანვრამდე საანგარიშო პერიოდების მიხედვით დარიცხული და გადახდილი მოგების გადასახადის თანხა</t>
  </si>
  <si>
    <t>2008 წლის 1 იანვრიდან 2017 წლის 1 იანვრამდე საანგარიშო პერიოდებში  მიღებული წმინდა მოგების ოდენობა</t>
  </si>
  <si>
    <t>2008 წლის 1 იანვრიდან 2017 წლის 1 იანვრამდე საანგარიშო პერიოდებში  მიღებული წმინდა მოგების ხარჯზე დივიდენდის სანაცვლოდ საწარმოს მიერ პარტნიორისათვის გადაცემული ამ საწარმოს აქციების/წილის ღირებულება</t>
  </si>
  <si>
    <t>შესამცირებელი (დასაბრუნებელი) მოგების გადასახადის გაანგარიშება</t>
  </si>
  <si>
    <t>16.1</t>
  </si>
  <si>
    <t>16.2</t>
  </si>
  <si>
    <t>16.3</t>
  </si>
  <si>
    <t>16.4</t>
  </si>
  <si>
    <t>16.5</t>
  </si>
  <si>
    <t>19.1</t>
  </si>
  <si>
    <r>
      <t xml:space="preserve">2008 წლის 1 იანვრიდან 2017 წლის 1 იანვრამდე მიღებული წმინდა მოგებიდან დივიდენდის განაწილებისას ამავე საანგარიშო პერიოდების მიხედვით დარიცხული და გადახდილი მოგების გადასახადის თანხა (დანართი N1-ის სტ. 5), მაგრამ არაუმეტეს 16.1.1 სტრიქონში ასახული მონაცემის შესაბამისად გამოანგარიშებული მოგების გადასახადის თანხისა </t>
    </r>
    <r>
      <rPr>
        <u/>
        <sz val="11"/>
        <color indexed="60"/>
        <rFont val="Calibri"/>
        <family val="2"/>
      </rPr>
      <t/>
    </r>
  </si>
  <si>
    <t>27.1</t>
  </si>
  <si>
    <t>27.2</t>
  </si>
  <si>
    <t>27.3</t>
  </si>
  <si>
    <t>2017 წლის 1 იანვრიდან საქართველოს საგადასახადო კოდექსის 309-ე მუხლის 94-ე ნაწილით გათვალისწინებული პირის სტატუსის დაკარგვამდე საანგარიშო პერიოდებში მიღებული წმინდა მოგების განაწილებისას ამ პერიოდების მიხედვით დარიცხული და გადახდილი მოგების გადასახადის  თანხა (დანართი N1³, სტ.5), მაგრამ არაუმეტეს 16.1.2   სტრიქონში   ასახული   მონაცემის   შესაბამისად   გამოანგარიშებული მოგების გადასახადის თანხისა</t>
  </si>
  <si>
    <t>საანგარიშო პერიოდში დივიდენდის სახით განაწილებული თანხის ოდენობა, რომელიც ექვემდებარება დაბეგვრას ( III ნაწილის სტ. 16.1.1 )</t>
  </si>
  <si>
    <t>ყურადღება შეფასებას ექვემდებარება "სწორი პასუხი"-ს სვეტში მითითებული თანხა</t>
  </si>
  <si>
    <t>გაანგარიშება</t>
  </si>
  <si>
    <t>მაჩვენებელი</t>
  </si>
  <si>
    <t>სწორი პასუხი</t>
  </si>
  <si>
    <t>შეფასება</t>
  </si>
  <si>
    <t>დაგროვილი ქულა</t>
  </si>
  <si>
    <t>დასაბეგრი თანხა</t>
  </si>
  <si>
    <t>მოგების გადასახადი</t>
  </si>
  <si>
    <t>ლუქსემბურგის ბირჟა 260000</t>
  </si>
  <si>
    <t>თბილისის ბირჟა 315000</t>
  </si>
  <si>
    <t>ჩასათვლელი მოგების გადასახადის ზღვრული თანხა</t>
  </si>
  <si>
    <t xml:space="preserve"> განსაზღვრეთ ამ ოპერაციების მიხედვით   მოგების გადასახადით  დასაბეგრი თანხა  და გადაიტანეთ მონაცემები დეკლარაციაში</t>
  </si>
  <si>
    <t>მიწოდება სსიპ "64 სკოლა "-ს  5000-1500=3500</t>
  </si>
  <si>
    <t>ირ წარმოადგენს დაბეგვრის ობიექტს</t>
  </si>
  <si>
    <t>5. კონტროლირებული ოპერაციები</t>
  </si>
  <si>
    <t>საქონლის მიღება შეღავათიანი დაბეგვრის მქონე ქვეყნიდან 500000-350000=150000</t>
  </si>
  <si>
    <t>მიკრობიზნესის სტატუსის მქონე პირის მომსახურება 1500</t>
  </si>
  <si>
    <t>ფიქსირებული გადასახადის გადამხდელის მომსახურება 2000</t>
  </si>
  <si>
    <t>17.2. ხარჯი, რომლის მიზანი არ არის მოგების, შემოსავლის ან კომპენსაციის მიღება</t>
  </si>
  <si>
    <t>არ წარმოადგენს დაბეგრის ობიექტს</t>
  </si>
  <si>
    <t>ჩუქებით გადაცემა რეკლამის მიზნით ფიზიკურ პირებზე 500/100=5  50*5=250</t>
  </si>
  <si>
    <t>გადაცემა დაქირავებით მომუშავე ფიზიკურ პირებს 500/100=5 50*5=250 იბეგრება საშემოსავლო გადასახადით</t>
  </si>
  <si>
    <t>სპონსორული დახმარება 12000</t>
  </si>
  <si>
    <t>არაეკონომიკური საქმიანობა 30000</t>
  </si>
  <si>
    <t>17.3 სხვა ხარჯი</t>
  </si>
  <si>
    <t>18.1.1.ობლიგაციების შეძენა</t>
  </si>
  <si>
    <t xml:space="preserve"> 18.1.2 ჯარიმის/პირგასამტეხლოს გადახდა</t>
  </si>
  <si>
    <t>საქართველოს რკინიგზა 5000</t>
  </si>
  <si>
    <t>ინდ/მეწარმეს მაღალმთიანი დასახლებაში 8000</t>
  </si>
  <si>
    <t>18.1.3. ავანსის გადახდა</t>
  </si>
  <si>
    <t>შეღავათიანი დაბეგვრის ქვეყანაში რეგისტრირებულ საწარმოს 50000</t>
  </si>
  <si>
    <t>აზარტულ კლუბს 100000</t>
  </si>
  <si>
    <t>18.1.5 მოთხოვნის უფლების (დებიტორილი დავალიანების) ჩამოწერა</t>
  </si>
  <si>
    <t>სსიპ "#64 საჯარო სკოლა" 300</t>
  </si>
  <si>
    <t>შპს "ვეგა" 50000 ორივე პირო წარმოადგენს მოგების გადასახადის გადამხდელს "ესტონური მოდელით"</t>
  </si>
  <si>
    <t>თიზ-ის საწარმოს კაპიტალის გაზრდა 200000</t>
  </si>
  <si>
    <t>18.2. კაპიტალში წილის შეტანა</t>
  </si>
  <si>
    <t>18.1.4. სესხის გაცემა შეღავათიანი დაბეგვრის ქვეყნებში და მოგების გადასახადისგან განთავისუფლებულ პირებს</t>
  </si>
  <si>
    <t>ს/ს "წყალი მარგებლის" 10000 ორივე პირი წარმოადგენს მოგების გადასახადის გადამხდელს "ესტონური მოდელით"</t>
  </si>
  <si>
    <t>ს/ს "ბაგრატიონი"-ს აქციის შეძენა 2000*10=20000 ორივე პირი წარმოადგენს მოგების გადასახადის გადამხდელს "ესტონური მოდელით"</t>
  </si>
  <si>
    <t>შ.პ.ს. "გზა და მეგზური" 100000 ორივე პირი წარმოადგენს მოგების გადასახადის გადამხდელს "ესტონური მოდელით"</t>
  </si>
  <si>
    <t>ნეიტრალური მოწმობის მქონე პირს 67000</t>
  </si>
  <si>
    <t>საწარმოს დირექტორს 10000</t>
  </si>
  <si>
    <t>სესხის დეპოზიტით უზრუნველყოფა 30000</t>
  </si>
  <si>
    <t>19. უსასყიდლოდ მიწოდება</t>
  </si>
  <si>
    <t>თანამშრომლის მკურნალობა  56000 იბეგრება საშემოსავლო გადასახადით</t>
  </si>
  <si>
    <t>შეზღუდული შესაძლებლობის მქონე პირი (944/1.18)</t>
  </si>
  <si>
    <t>ს.ს.ი.პ. "მერწმუნე" (არ იბეგრება, საბიუჯეტო ორგანიზაცია) 12000</t>
  </si>
  <si>
    <t>19.1. ინვენტარიზაციის შედეგები</t>
  </si>
  <si>
    <t>საქონლის ზედმეტობა 10000 (არ იბეგრება აისახება შემოსავალში)</t>
  </si>
  <si>
    <t xml:space="preserve"> საქონლის დანაკლისი 9440/1.18=8000</t>
  </si>
  <si>
    <t>20. წარმომადგენლობითი ხარჯები</t>
  </si>
  <si>
    <t>2650+1300+2055+8300-(1250000*1%)</t>
  </si>
  <si>
    <t>ობლიგაციების რეალიზაციით მიღებული მოგების განაწილება 5000</t>
  </si>
  <si>
    <t>ბანკში დაგროვილი პროცენტის დივიდენდის სახით განაწილება 20000</t>
  </si>
  <si>
    <t>22. მოგების გადასახადისაგან გათავისუფლებული ოპერაციები</t>
  </si>
  <si>
    <t>ჩასათვლელი თანხა</t>
  </si>
  <si>
    <t>დასაბრუნებელი თანხა</t>
  </si>
  <si>
    <t>შეძენილი აქციის გაყიდვა 15000</t>
  </si>
  <si>
    <t>ს</t>
  </si>
  <si>
    <t>მე-18 სტრიქონი გადახდები, რომლებიც არ მიეკუთვნება ეკონომიკურ საქმიანობასთან დაკავშირებულს</t>
  </si>
  <si>
    <t>მე-17 სტრიქონი ხარჯები, რომელიც არ მიეკუთვნება ეკონომიკურ საქმიანობასთან დაკავშირებულს</t>
  </si>
  <si>
    <t>ამოცანა #2</t>
  </si>
  <si>
    <t>საქონლის შეძენა იურიდიულ პირისგან 500000-260000=240000 ორივე პირი წარმოადგენს მოგების გადასახადის გადამხდელს "ესტონური მოდელით"</t>
  </si>
  <si>
    <t>შენობის შეძენა ფიზიკური პირისგან 220000-120000=100000 იბეგრება საშემოსავლო გადასახადით გამყიდველთან</t>
  </si>
  <si>
    <t>ავტომობილის მიწოდება დამფუძნებელ საწარმოს 5000-7000=-2000 ორივე პირი წარმოადგენს მოგების გადასახადის გადამხდელს "ესტონური მოდელით"</t>
  </si>
  <si>
    <t>აქტივის შეძენა შ.პ.ს. "ანაკლია"-სგან 100000-50000=50000    (შპს "ანაკლია" არ იბეგრება მოგების გადასახადით)</t>
  </si>
  <si>
    <t>არ წარმოადგენს დაბეგვრის ობიექტს</t>
  </si>
  <si>
    <t>საქონლის მიწოდება ურთიერთდამოკიდებულ პირს 50*(1000-700)*3=45000</t>
  </si>
  <si>
    <t>საწვავის შეძენა სპეც. ანგარიშ ფაქტურის გარეშე (20000-15000)=5000</t>
  </si>
  <si>
    <t>ამერიკის საელჩოს 20000</t>
  </si>
  <si>
    <t>საგადასახადო დეპარტამენტს 200</t>
  </si>
  <si>
    <t>სასოფლო-სამეურნეო კოოპერატივის 10000</t>
  </si>
  <si>
    <t>იტალიური ფირმა 31200</t>
  </si>
  <si>
    <t>საქველმოქმედო ფონდი "ხარება" (20000*10%)=2000     3500-2000=1500</t>
  </si>
  <si>
    <t>დახმარება სწავლისთვის 999</t>
  </si>
  <si>
    <t>სესხის ნაწილის დაბრუნება 2000</t>
  </si>
  <si>
    <t>ავანსის ნაწილობრივი დაბრუნება 3000</t>
  </si>
  <si>
    <t>ბარტერული ოპერაცია</t>
  </si>
  <si>
    <t>აპრილის ავანსის კოოპერატივისთვის გადარიცხვა 10000 აისახება 18.1.3. სტრიქონზე</t>
  </si>
  <si>
    <t xml:space="preserve"> </t>
  </si>
  <si>
    <t>17.1. დოკუმენტალურად დაუდასტურებელი ხარჯი</t>
  </si>
  <si>
    <t>შვილობილ საწარმოს 20000 ორივე პირი წარმოადგენს მოგების გადასახადის გადამხდელს "ესტონური მოდელით"</t>
  </si>
  <si>
    <t>ბულგარეთში დაფუძნებილი საწარმოში წილის შეძენა</t>
  </si>
  <si>
    <t>18.3 სესხის გაცემა ფიზიკურ პირებს და არარეზიდინტისთვის</t>
  </si>
  <si>
    <t>საბერძნეთის მოქალაქეს 50000</t>
  </si>
  <si>
    <t>2008 წლის  1 იანვრიდან 2017 წლის 1 იანვრამდე მიღებული წმინდა მოგებიდან დივიდენდის განაწილებისას მოგების გადასახადის თანხა, (ტოლია დეკლარაციის დანართი 1-ს მე- 5 სტრიქონში ასახული თანხას მაგრამ არაუმეტეს სტრ.16.1.1/0.85*15% )</t>
  </si>
  <si>
    <t>საქონლის EXW საბაჟო რეჟიმით გადაცემა 7500</t>
  </si>
  <si>
    <t>16.3.ურთიერთდამოკიდებული პირები</t>
  </si>
  <si>
    <t>16.4. მოგების/საშემოსავლო გადასახადისგან განთავისუფლებული  პირები</t>
  </si>
  <si>
    <t>მაისი 2020</t>
  </si>
  <si>
    <t>ნოემბერი 2017</t>
  </si>
  <si>
    <t>თებერვალი 2018</t>
  </si>
  <si>
    <t>იანვარი 2022</t>
  </si>
  <si>
    <t>სტრიქონი 27.1</t>
  </si>
  <si>
    <t>სტერიქონი 27.2</t>
  </si>
  <si>
    <t>დეკემბერი 2021</t>
  </si>
  <si>
    <t>თებერვალი 2022</t>
  </si>
  <si>
    <t>25.1 მოგების გადასახადის ჩასათვლელი თანხა</t>
  </si>
  <si>
    <t>25.2.1.უცხოეთში გადახდილი გადასახადის ჩასათვლელი თანხა</t>
  </si>
  <si>
    <t>25.2.1</t>
  </si>
  <si>
    <t>25.2.2</t>
  </si>
  <si>
    <t>უცხოეთში გადახდილი გადასახადის ჩასათვლელი თანხა 25000*20%=5000, მაგრამ არაუმეტეს 25000*15%=3750</t>
  </si>
  <si>
    <t>უცხოეთში გადახდილი გადასახადის ჩასათვლელი თანხა - წყაროსთან დაკავებული ან გადახდილი გადასახადის თანხა, რომელიც გამოანგარიშებული იქნებოდა საქართველოში აღნიშნულ შემოსავალზე</t>
  </si>
  <si>
    <t>საავანსო მოგება 30000</t>
  </si>
  <si>
    <t>16.1.1.განაწილებილი დივიდენდი - 2014-2017 წლების გაუნაწილებელი მოგების განაწილების გაანგარიშება კეთდება დანართი 1-ში</t>
  </si>
  <si>
    <t>16.1. განაწილებული მოგება</t>
  </si>
  <si>
    <t>მოგების გადასახადისაგან  დანთავისუფლებული მოგების განაწილება 25000</t>
  </si>
  <si>
    <t>შ.პ.ს. "მარცვალს" 17280  პირი წარმოადგენს მოგების გადასახადის გადამხდელს "ესტონური მოდელით"</t>
  </si>
  <si>
    <t>მაღალპროცენტიანი სესხის პროცენტის თანხა - სესხის გამცემი სუბიექტი "სგს მევახშე"    100000*(36%-24%)=12000/12=1000</t>
  </si>
  <si>
    <t xml:space="preserve"> საქონლის მიწოდება  შ.პ.ს. "ანაკლია"-ს 75000-(50000/1.18)=25000 (შპს "ანაკლია" არ იბეგრება მოგების გადასახადით)</t>
  </si>
  <si>
    <t>დანართი 3</t>
  </si>
  <si>
    <t>სესხების და კაპიტალის აღრიცხვა</t>
  </si>
  <si>
    <t>შინარსი</t>
  </si>
  <si>
    <t>საანგარიშო პერიოდის საწყისი ნაშთი</t>
  </si>
  <si>
    <t>ზრდა საანგარიშო პერიოდში</t>
  </si>
  <si>
    <t>შემცირება საანგარიშო პერიოდში</t>
  </si>
  <si>
    <t>საანგარიშო პერიოდის საბოლოო ნაშთი</t>
  </si>
  <si>
    <t>სულ</t>
  </si>
  <si>
    <t>მათ შორის, გადაფასება</t>
  </si>
  <si>
    <t>გაცემული სესხ(ებ)ი</t>
  </si>
  <si>
    <t>მიღებული სესხ(ებ)ი</t>
  </si>
  <si>
    <t>საწარმოს კაპიტალი</t>
  </si>
  <si>
    <t>სხვა საწარმოში რიცხული კაპიტალი</t>
  </si>
  <si>
    <t>კვიპროსი</t>
  </si>
  <si>
    <t>აზარტული კლუბი აჭარა</t>
  </si>
  <si>
    <t>შვილობილი საწარმო</t>
  </si>
  <si>
    <t>შპს"ვეგა</t>
  </si>
  <si>
    <t>ს/ს "ბახტრიონი"</t>
  </si>
  <si>
    <t>ბულგარეთის კამპანია</t>
  </si>
  <si>
    <t>ბულგარეთის ფიზიკური პირი</t>
  </si>
  <si>
    <t>ფიზიკური პირი - უკრაინის პეზიდენტი</t>
  </si>
  <si>
    <t>იტალიური ფირმა "ერნესტო კამატონე LTD"</t>
  </si>
  <si>
    <t>ნეიტრალური საბუთის მქონე პირი "ვასილ მუზაევი"</t>
  </si>
  <si>
    <t>დირექტორი გერონტი მელუა</t>
  </si>
  <si>
    <t>ბანკის კრედიტის უზრუნველყოფა</t>
  </si>
  <si>
    <t>მალტის ბანკის აქციები</t>
  </si>
  <si>
    <t>კაზახეთის ფირმა</t>
  </si>
  <si>
    <t>ტურისტული ზონის საწარმო</t>
  </si>
  <si>
    <t>კაპიტალში  შენატანის დაბრუნება 80000*3.4=272000 80000*2.7=216000 (216000-272000)=-56000 უარყოფითი საკურსო სხვაობა</t>
  </si>
  <si>
    <t>დაბრუნებელი (ჩასათვლელი) თანხა</t>
  </si>
  <si>
    <t>მაღალპროცენტიანი სესხის პროცენტის თანხა - მიკროსაფინანსო ორგანიზაცია  "მსო კაპიტალი"    100000*(36%-24%)=12000/12=1000*0=0</t>
  </si>
  <si>
    <t>შპს"ACCA-მაგალითი"</t>
  </si>
  <si>
    <r>
      <rPr>
        <b/>
        <sz val="10"/>
        <rFont val="Sylfaen"/>
        <family val="1"/>
      </rPr>
      <t>სსიპ</t>
    </r>
    <r>
      <rPr>
        <sz val="10"/>
        <rFont val="Sylfaen"/>
        <family val="1"/>
      </rPr>
      <t xml:space="preserve"> "საკანონმდებლო მაცნე" 375  საბიუჯეტო ორგანიზაცია</t>
    </r>
  </si>
  <si>
    <t>გარდაცვლილი ინდმეწარმეს - 500 უიმედო ვალია</t>
  </si>
  <si>
    <t>ფიზიკური პირისთვის ავარიით მიყენებული ზიანის  პატიება 980</t>
  </si>
  <si>
    <r>
      <t>27.1. დასაბრუნებელი  თანხები  (აისახება დეკლარაციის დანართი  1</t>
    </r>
    <r>
      <rPr>
        <b/>
        <sz val="8"/>
        <rFont val="Sylfaen"/>
        <family val="1"/>
      </rPr>
      <t>2</t>
    </r>
    <r>
      <rPr>
        <b/>
        <sz val="11"/>
        <rFont val="Sylfaen"/>
        <family val="1"/>
      </rPr>
      <t>) (ფასიანი ქაღალდები, კაპიტალში წილი)</t>
    </r>
  </si>
  <si>
    <r>
      <t>27.2. დასაბრუნებელი  თანხები  (აისახება დეკლარაციის დანართი  1</t>
    </r>
    <r>
      <rPr>
        <b/>
        <sz val="8"/>
        <rFont val="Sylfaen"/>
        <family val="1"/>
      </rPr>
      <t>2</t>
    </r>
    <r>
      <rPr>
        <b/>
        <sz val="11"/>
        <rFont val="Sylfaen"/>
        <family val="1"/>
      </rPr>
      <t>) (გაცემული სესხი, ავანსის დაბრუნებული თანხა)</t>
    </r>
  </si>
  <si>
    <r>
      <t>კოოპერატივის მიერ ავანსის ნაწილობრივი დაფარვა (ნოემბერი-იანვარი) 10000*3=30000 (აისახება დანართი</t>
    </r>
    <r>
      <rPr>
        <sz val="11"/>
        <rFont val="Sylfaen"/>
        <family val="1"/>
      </rPr>
      <t xml:space="preserve"> 1</t>
    </r>
    <r>
      <rPr>
        <sz val="8"/>
        <rFont val="Sylfaen"/>
        <family val="1"/>
      </rPr>
      <t>2</t>
    </r>
    <r>
      <rPr>
        <sz val="10"/>
        <rFont val="Sylfaen"/>
        <family val="1"/>
      </rPr>
      <t>)</t>
    </r>
  </si>
  <si>
    <r>
      <t xml:space="preserve">შენიშვნა: </t>
    </r>
    <r>
      <rPr>
        <sz val="11"/>
        <rFont val="Calibri"/>
        <family val="2"/>
        <scheme val="minor"/>
      </rPr>
      <t>დეკლარაციის დანართი 3-ში გადაიტანება მწვანე ფერის სტრიქონების მონაცემები</t>
    </r>
  </si>
  <si>
    <t>საშემოსავლო გადასახადისაგან/მოგების გადასახადისაგან გათავისუფლებულ პირთან განხორციელებული ოპერაცი(ებ)ის ფარგლებში გარიგების ფასსა და საბაზრო ფასს შორის სხვაობის თანხა. კერძოდ:</t>
  </si>
  <si>
    <r>
      <rPr>
        <b/>
        <u/>
        <sz val="10"/>
        <rFont val="Sylfaen"/>
        <family val="1"/>
      </rPr>
      <t xml:space="preserve">ხარჯი, </t>
    </r>
    <r>
      <rPr>
        <b/>
        <sz val="10"/>
        <rFont val="Sylfaen"/>
        <family val="1"/>
      </rPr>
      <t>რომელიც საქართველოს საგადასახადო კოდექსის  98² მუხლის მიხედვით არ მიეკუთვნება  ეკონომიკურ საქმიანობასთან დაკავშირებულს, მათ შორის:</t>
    </r>
  </si>
  <si>
    <r>
      <rPr>
        <b/>
        <u/>
        <sz val="10"/>
        <rFont val="Sylfaen"/>
        <family val="1"/>
      </rPr>
      <t>გადახდები,</t>
    </r>
    <r>
      <rPr>
        <b/>
        <sz val="10"/>
        <rFont val="Sylfaen"/>
        <family val="1"/>
      </rPr>
      <t xml:space="preserve"> რომელიც საქართველოს საგადასახადო კოდექსის  98² მუხლის მიხედვით არ მიეკუთვნება  ეკონომიკურ საქმიანობასთან დაკავშირებულს, მათ შორის:</t>
    </r>
  </si>
  <si>
    <r>
      <t xml:space="preserve">პირისათვის </t>
    </r>
    <r>
      <rPr>
        <sz val="11"/>
        <rFont val="Sylfaen"/>
        <family val="1"/>
      </rPr>
      <t>განხორციელებული გადახდა, რომელიც უკავშირდება მათ მიერ გამოშვებული სასესხო ფასიანი ქაღალდის შეძენას</t>
    </r>
  </si>
  <si>
    <r>
      <t xml:space="preserve">პირისათვის </t>
    </r>
    <r>
      <rPr>
        <sz val="11"/>
        <rFont val="Sylfaen"/>
        <family val="1"/>
      </rPr>
      <t>გადახდილი, სახელშეკრულებო ურთიერთობიდან წარმოშობილი პირგასამტეხლო ან/და სხვა ჯარიმა</t>
    </r>
  </si>
  <si>
    <r>
      <t xml:space="preserve">პირისათვის </t>
    </r>
    <r>
      <rPr>
        <sz val="11"/>
        <rFont val="Sylfaen"/>
        <family val="1"/>
      </rPr>
      <t>გადახდილი ავანსი</t>
    </r>
  </si>
  <si>
    <t>პირისათვის სესხის გაცემა ან/და ამ პირის მიმართ არსებული მოთხოვნის შესაძენად განხორციელებული გადახდა</t>
  </si>
  <si>
    <t>პირისათვის მოთხოვნის უფლების გადაცემით ან მოთხოვნის უფლებაზე უარის თქმით წარმოშობილი ზარალი</t>
  </si>
  <si>
    <r>
      <t xml:space="preserve">არარეზიდენტის ან/და  საქართველოს საგადასახადო კოდექსის შესაბამისად მოგების გადასახადისგან გათავისუფლებული პირის კაპიტალში </t>
    </r>
    <r>
      <rPr>
        <sz val="11"/>
        <rFont val="Sylfaen"/>
        <family val="1"/>
      </rPr>
      <t>შენატანი ან აქციის/წილის შესაძენად განხორციელებული გადახდა</t>
    </r>
  </si>
  <si>
    <r>
      <t>დანართი 1</t>
    </r>
    <r>
      <rPr>
        <b/>
        <vertAlign val="superscript"/>
        <sz val="10"/>
        <rFont val="Sylfaen"/>
        <family val="1"/>
      </rPr>
      <t>2</t>
    </r>
  </si>
  <si>
    <t>საანგარიშო პერიოდი, რომელშიც დაიბეგრა თანხა</t>
  </si>
  <si>
    <r>
      <t>შესაბამისი დეკლარაციის გრაფა, რომელშიც დაიბეგრა თანხა</t>
    </r>
    <r>
      <rPr>
        <b/>
        <sz val="10"/>
        <rFont val="Sylfaen"/>
        <family val="1"/>
      </rPr>
      <t xml:space="preserve"> </t>
    </r>
  </si>
  <si>
    <t>დაბეგრილი თანხა, რომლის შესაბამისი მოგების გადასახადიც ექვემდებარება შემცირებას (დაბრუნებას)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</si>
</sst>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1"/>
      <name val="Sylfaen"/>
      <family val="1"/>
    </font>
    <font>
      <b/>
      <sz val="11"/>
      <name val="Sylfaen"/>
      <family val="1"/>
    </font>
    <font>
      <u/>
      <sz val="11"/>
      <color indexed="60"/>
      <name val="Calibri"/>
      <family val="2"/>
    </font>
    <font>
      <b/>
      <sz val="10"/>
      <name val="Sylfaen"/>
      <family val="1"/>
    </font>
    <font>
      <sz val="9"/>
      <name val="Sylfae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2"/>
      <name val="სყლფ"/>
    </font>
    <font>
      <sz val="12"/>
      <name val="სყლფ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Sylfaen"/>
      <family val="1"/>
    </font>
    <font>
      <sz val="10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sz val="9"/>
      <name val="BPG Arial"/>
    </font>
    <font>
      <b/>
      <sz val="9"/>
      <name val="BPG Arial"/>
    </font>
    <font>
      <sz val="8"/>
      <name val="BPG Arial"/>
    </font>
    <font>
      <sz val="10"/>
      <name val="Calibri"/>
      <family val="2"/>
      <scheme val="minor"/>
    </font>
    <font>
      <b/>
      <sz val="14"/>
      <name val="Sylfaen"/>
      <family val="1"/>
    </font>
    <font>
      <sz val="14"/>
      <name val="Sylfaen"/>
      <family val="1"/>
    </font>
    <font>
      <sz val="9"/>
      <name val="Calibri"/>
      <family val="2"/>
      <scheme val="minor"/>
    </font>
    <font>
      <b/>
      <sz val="9"/>
      <name val="Sylfaen"/>
      <family val="1"/>
    </font>
    <font>
      <b/>
      <u/>
      <sz val="10"/>
      <name val="Sylfaen"/>
      <family val="1"/>
    </font>
    <font>
      <b/>
      <vertAlign val="superscript"/>
      <sz val="10"/>
      <name val="Sylfaen"/>
      <family val="1"/>
    </font>
    <font>
      <b/>
      <sz val="10"/>
      <name val="Calibri"/>
      <family val="2"/>
      <scheme val="minor"/>
    </font>
    <font>
      <b/>
      <sz val="11"/>
      <name val="BPG Arial"/>
    </font>
    <font>
      <sz val="11"/>
      <name val="BPG 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0" fontId="2" fillId="0" borderId="3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2" fillId="0" borderId="38" xfId="0" applyFont="1" applyFill="1" applyBorder="1" applyAlignment="1"/>
    <xf numFmtId="0" fontId="1" fillId="0" borderId="0" xfId="0" applyFont="1" applyFill="1"/>
    <xf numFmtId="0" fontId="15" fillId="0" borderId="0" xfId="0" applyFont="1" applyFill="1"/>
    <xf numFmtId="0" fontId="4" fillId="0" borderId="0" xfId="0" applyFont="1" applyFill="1"/>
    <xf numFmtId="0" fontId="15" fillId="0" borderId="5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38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5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1" fontId="4" fillId="0" borderId="4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2"/>
    </xf>
    <xf numFmtId="0" fontId="18" fillId="0" borderId="1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 indent="2"/>
    </xf>
    <xf numFmtId="0" fontId="18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 indent="2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5" xfId="0" quotePrefix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64" fontId="11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40" xfId="0" applyNumberFormat="1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39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" fillId="0" borderId="28" xfId="0" applyFont="1" applyFill="1" applyBorder="1"/>
    <xf numFmtId="0" fontId="1" fillId="0" borderId="31" xfId="0" applyFont="1" applyFill="1" applyBorder="1"/>
    <xf numFmtId="0" fontId="5" fillId="0" borderId="35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top" wrapText="1"/>
    </xf>
    <xf numFmtId="0" fontId="15" fillId="0" borderId="29" xfId="0" applyFont="1" applyFill="1" applyBorder="1" applyAlignment="1">
      <alignment horizontal="left" vertical="top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4" fillId="0" borderId="0" xfId="0" applyFont="1" applyFill="1" applyBorder="1" applyAlignment="1">
      <alignment horizontal="right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11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159" zoomScale="120" zoomScaleNormal="120" workbookViewId="0">
      <selection activeCell="A159" sqref="A159:B159"/>
    </sheetView>
  </sheetViews>
  <sheetFormatPr defaultRowHeight="15"/>
  <cols>
    <col min="1" max="1" width="14" style="127" bestFit="1" customWidth="1"/>
    <col min="2" max="2" width="9.140625" style="127"/>
    <col min="3" max="4" width="9.5703125" style="127" bestFit="1" customWidth="1"/>
    <col min="5" max="5" width="9.140625" style="127"/>
    <col min="6" max="6" width="8" style="127" customWidth="1"/>
    <col min="7" max="7" width="16.42578125" style="127" customWidth="1"/>
    <col min="8" max="8" width="10.140625" style="128" customWidth="1"/>
    <col min="9" max="9" width="8.85546875" style="127" customWidth="1"/>
    <col min="10" max="10" width="12.140625" style="127" customWidth="1"/>
    <col min="11" max="16384" width="9.140625" style="2"/>
  </cols>
  <sheetData>
    <row r="1" spans="1:10" ht="15.75">
      <c r="A1" s="12" t="s">
        <v>137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3"/>
      <c r="B2" s="12" t="s">
        <v>82</v>
      </c>
      <c r="C2" s="12"/>
      <c r="D2" s="12"/>
      <c r="E2" s="12"/>
      <c r="F2" s="12"/>
      <c r="G2" s="12"/>
      <c r="H2" s="12"/>
      <c r="I2" s="12"/>
      <c r="J2" s="12"/>
    </row>
    <row r="3" spans="1:10">
      <c r="A3" s="14"/>
      <c r="B3" s="14"/>
      <c r="C3" s="14"/>
      <c r="D3" s="14"/>
      <c r="E3" s="14"/>
      <c r="F3" s="14"/>
      <c r="G3" s="14"/>
      <c r="H3" s="15"/>
      <c r="I3" s="14"/>
      <c r="J3" s="14"/>
    </row>
    <row r="4" spans="1:10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</row>
    <row r="5" spans="1:10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31.15" customHeight="1">
      <c r="A6" s="18" t="s">
        <v>86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3.5" customHeight="1">
      <c r="A7" s="19"/>
      <c r="B7" s="19"/>
      <c r="C7" s="19"/>
      <c r="D7" s="19"/>
      <c r="E7" s="20"/>
      <c r="F7" s="20"/>
      <c r="G7" s="20"/>
      <c r="H7" s="20"/>
      <c r="I7" s="20"/>
      <c r="J7" s="20"/>
    </row>
    <row r="8" spans="1:10" ht="13.5" customHeight="1" thickBot="1">
      <c r="A8" s="21" t="s">
        <v>181</v>
      </c>
      <c r="B8" s="21"/>
      <c r="C8" s="21"/>
      <c r="D8" s="21"/>
      <c r="E8" s="21"/>
      <c r="F8" s="21"/>
      <c r="G8" s="22"/>
      <c r="H8" s="22"/>
      <c r="I8" s="22"/>
      <c r="J8" s="22"/>
    </row>
    <row r="9" spans="1:10" ht="32.25" customHeight="1">
      <c r="A9" s="23" t="s">
        <v>76</v>
      </c>
      <c r="B9" s="23"/>
      <c r="C9" s="23"/>
      <c r="D9" s="23"/>
      <c r="E9" s="23"/>
      <c r="F9" s="23"/>
      <c r="G9" s="24" t="s">
        <v>77</v>
      </c>
      <c r="H9" s="25" t="s">
        <v>78</v>
      </c>
      <c r="I9" s="26" t="s">
        <v>79</v>
      </c>
      <c r="J9" s="27" t="s">
        <v>80</v>
      </c>
    </row>
    <row r="10" spans="1:10" ht="13.5" customHeight="1">
      <c r="A10" s="28" t="s">
        <v>179</v>
      </c>
      <c r="B10" s="28"/>
      <c r="C10" s="28"/>
      <c r="D10" s="28"/>
      <c r="E10" s="28"/>
      <c r="F10" s="28"/>
      <c r="G10" s="29" t="s">
        <v>81</v>
      </c>
      <c r="H10" s="30">
        <v>30000</v>
      </c>
      <c r="I10" s="31">
        <v>0.5</v>
      </c>
      <c r="J10" s="32"/>
    </row>
    <row r="11" spans="1:10" ht="33.75" customHeight="1">
      <c r="A11" s="23" t="s">
        <v>182</v>
      </c>
      <c r="B11" s="23"/>
      <c r="C11" s="23"/>
      <c r="D11" s="23"/>
      <c r="E11" s="23"/>
      <c r="F11" s="23"/>
      <c r="G11" s="27" t="s">
        <v>81</v>
      </c>
      <c r="H11" s="33">
        <v>25000</v>
      </c>
      <c r="I11" s="27"/>
      <c r="J11" s="27"/>
    </row>
    <row r="12" spans="1:10" ht="13.5" customHeight="1">
      <c r="A12" s="34"/>
      <c r="B12" s="34"/>
      <c r="C12" s="34"/>
      <c r="D12" s="34"/>
      <c r="E12" s="34"/>
      <c r="F12" s="34"/>
      <c r="G12" s="34"/>
      <c r="H12" s="35"/>
      <c r="I12" s="34"/>
      <c r="J12" s="34"/>
    </row>
    <row r="13" spans="1:10" ht="39.75" customHeight="1">
      <c r="A13" s="36" t="s">
        <v>180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3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4" customHeight="1" thickBot="1">
      <c r="A15" s="37" t="s">
        <v>163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s="4" customFormat="1" ht="30">
      <c r="A16" s="23" t="s">
        <v>76</v>
      </c>
      <c r="B16" s="23"/>
      <c r="C16" s="23"/>
      <c r="D16" s="23"/>
      <c r="E16" s="23"/>
      <c r="F16" s="23"/>
      <c r="G16" s="38" t="s">
        <v>77</v>
      </c>
      <c r="H16" s="39" t="s">
        <v>78</v>
      </c>
      <c r="I16" s="31" t="s">
        <v>79</v>
      </c>
      <c r="J16" s="32" t="s">
        <v>80</v>
      </c>
    </row>
    <row r="17" spans="1:12" s="4" customFormat="1" ht="35.25" customHeight="1">
      <c r="A17" s="40" t="s">
        <v>185</v>
      </c>
      <c r="B17" s="40"/>
      <c r="C17" s="40"/>
      <c r="D17" s="40"/>
      <c r="E17" s="40"/>
      <c r="F17" s="40"/>
      <c r="G17" s="24" t="s">
        <v>81</v>
      </c>
      <c r="H17" s="41">
        <f>(75000-(50000/1.18))</f>
        <v>32627.118644067792</v>
      </c>
      <c r="I17" s="26">
        <v>0.5</v>
      </c>
      <c r="J17" s="27"/>
    </row>
    <row r="18" spans="1:12" s="4" customFormat="1" ht="30" customHeight="1">
      <c r="A18" s="23" t="s">
        <v>141</v>
      </c>
      <c r="B18" s="23"/>
      <c r="C18" s="23"/>
      <c r="D18" s="23"/>
      <c r="E18" s="23"/>
      <c r="F18" s="23"/>
      <c r="G18" s="24" t="s">
        <v>81</v>
      </c>
      <c r="H18" s="41">
        <f>100000-50000</f>
        <v>50000</v>
      </c>
      <c r="I18" s="26">
        <v>0.5</v>
      </c>
      <c r="J18" s="27"/>
      <c r="L18" s="4" t="s">
        <v>155</v>
      </c>
    </row>
    <row r="19" spans="1:12" s="4" customFormat="1" ht="51.75" customHeight="1" thickBot="1">
      <c r="A19" s="23" t="s">
        <v>138</v>
      </c>
      <c r="B19" s="23"/>
      <c r="C19" s="23"/>
      <c r="D19" s="23"/>
      <c r="E19" s="23"/>
      <c r="F19" s="23"/>
      <c r="G19" s="42" t="s">
        <v>88</v>
      </c>
      <c r="H19" s="43">
        <v>0</v>
      </c>
      <c r="I19" s="26">
        <v>0.5</v>
      </c>
      <c r="J19" s="44"/>
    </row>
    <row r="20" spans="1:12" s="4" customFormat="1" ht="18.75" customHeight="1">
      <c r="A20" s="28"/>
      <c r="B20" s="28"/>
      <c r="C20" s="28"/>
      <c r="D20" s="28"/>
      <c r="E20" s="28"/>
      <c r="F20" s="28"/>
      <c r="G20" s="34"/>
      <c r="H20" s="35"/>
      <c r="I20" s="34"/>
      <c r="J20" s="34"/>
    </row>
    <row r="21" spans="1:12" s="4" customFormat="1" ht="15.75" thickBot="1">
      <c r="A21" s="45" t="s">
        <v>164</v>
      </c>
      <c r="B21" s="45"/>
      <c r="C21" s="45"/>
      <c r="D21" s="45"/>
      <c r="E21" s="45"/>
      <c r="F21" s="45"/>
      <c r="G21" s="45"/>
      <c r="H21" s="45"/>
      <c r="I21" s="46"/>
      <c r="J21" s="46"/>
    </row>
    <row r="22" spans="1:12" s="4" customFormat="1" ht="30">
      <c r="A22" s="23" t="s">
        <v>76</v>
      </c>
      <c r="B22" s="23"/>
      <c r="C22" s="23"/>
      <c r="D22" s="23"/>
      <c r="E22" s="23"/>
      <c r="F22" s="23"/>
      <c r="G22" s="38" t="s">
        <v>77</v>
      </c>
      <c r="H22" s="39" t="s">
        <v>78</v>
      </c>
      <c r="I22" s="31" t="s">
        <v>79</v>
      </c>
      <c r="J22" s="32" t="s">
        <v>80</v>
      </c>
      <c r="L22" s="4" t="s">
        <v>155</v>
      </c>
    </row>
    <row r="23" spans="1:12" s="4" customFormat="1" ht="43.5" customHeight="1">
      <c r="A23" s="47" t="s">
        <v>140</v>
      </c>
      <c r="B23" s="48"/>
      <c r="C23" s="48"/>
      <c r="D23" s="48"/>
      <c r="E23" s="48"/>
      <c r="F23" s="49"/>
      <c r="G23" s="24" t="s">
        <v>81</v>
      </c>
      <c r="H23" s="41">
        <v>0</v>
      </c>
      <c r="I23" s="26">
        <v>0.5</v>
      </c>
      <c r="J23" s="27"/>
      <c r="K23" s="5"/>
    </row>
    <row r="24" spans="1:12" s="4" customFormat="1" ht="30.6" customHeight="1">
      <c r="A24" s="23" t="s">
        <v>87</v>
      </c>
      <c r="B24" s="23"/>
      <c r="C24" s="23"/>
      <c r="D24" s="23"/>
      <c r="E24" s="23"/>
      <c r="F24" s="23"/>
      <c r="G24" s="24" t="s">
        <v>81</v>
      </c>
      <c r="H24" s="41">
        <f>5000-1500</f>
        <v>3500</v>
      </c>
      <c r="I24" s="26">
        <v>0.5</v>
      </c>
      <c r="J24" s="27"/>
      <c r="K24" s="5"/>
    </row>
    <row r="25" spans="1:12" s="4" customFormat="1" ht="15.75" thickBot="1">
      <c r="A25" s="23" t="s">
        <v>139</v>
      </c>
      <c r="B25" s="23"/>
      <c r="C25" s="23"/>
      <c r="D25" s="23"/>
      <c r="E25" s="23"/>
      <c r="F25" s="23"/>
      <c r="G25" s="24" t="s">
        <v>81</v>
      </c>
      <c r="H25" s="50">
        <v>100000</v>
      </c>
      <c r="I25" s="26">
        <v>0.5</v>
      </c>
      <c r="J25" s="27"/>
      <c r="K25" s="5"/>
    </row>
    <row r="26" spans="1:12" s="4" customFormat="1" ht="15" customHeight="1">
      <c r="A26" s="34"/>
      <c r="B26" s="34"/>
      <c r="C26" s="34"/>
      <c r="D26" s="34"/>
      <c r="E26" s="34"/>
      <c r="F26" s="34"/>
      <c r="G26" s="51"/>
      <c r="H26" s="52"/>
      <c r="I26" s="46"/>
      <c r="J26" s="46"/>
    </row>
    <row r="27" spans="1:12" s="4" customFormat="1" ht="15.75" thickBot="1">
      <c r="A27" s="37" t="s">
        <v>89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2" s="4" customFormat="1" ht="30">
      <c r="A28" s="23" t="s">
        <v>76</v>
      </c>
      <c r="B28" s="23"/>
      <c r="C28" s="23"/>
      <c r="D28" s="23"/>
      <c r="E28" s="23"/>
      <c r="F28" s="23"/>
      <c r="G28" s="38" t="s">
        <v>77</v>
      </c>
      <c r="H28" s="39" t="s">
        <v>78</v>
      </c>
      <c r="I28" s="31" t="s">
        <v>79</v>
      </c>
      <c r="J28" s="32" t="s">
        <v>80</v>
      </c>
    </row>
    <row r="29" spans="1:12" s="4" customFormat="1" ht="33.6" customHeight="1">
      <c r="A29" s="47" t="s">
        <v>90</v>
      </c>
      <c r="B29" s="48"/>
      <c r="C29" s="48"/>
      <c r="D29" s="48"/>
      <c r="E29" s="48"/>
      <c r="F29" s="49"/>
      <c r="G29" s="24" t="s">
        <v>81</v>
      </c>
      <c r="H29" s="41">
        <f>500000-350000</f>
        <v>150000</v>
      </c>
      <c r="I29" s="26">
        <v>0.5</v>
      </c>
      <c r="J29" s="27"/>
    </row>
    <row r="30" spans="1:12" s="4" customFormat="1" ht="33.6" customHeight="1" thickBot="1">
      <c r="A30" s="23" t="s">
        <v>143</v>
      </c>
      <c r="B30" s="23"/>
      <c r="C30" s="23"/>
      <c r="D30" s="23"/>
      <c r="E30" s="23"/>
      <c r="F30" s="23"/>
      <c r="G30" s="24" t="s">
        <v>81</v>
      </c>
      <c r="H30" s="50">
        <f>50*(1000-700)*3</f>
        <v>45000</v>
      </c>
      <c r="I30" s="26">
        <v>0.5</v>
      </c>
      <c r="J30" s="27"/>
    </row>
    <row r="31" spans="1:12" s="4" customFormat="1">
      <c r="A31" s="34"/>
      <c r="B31" s="34"/>
      <c r="C31" s="34"/>
      <c r="D31" s="34"/>
      <c r="E31" s="34"/>
      <c r="F31" s="34"/>
      <c r="G31" s="53"/>
      <c r="H31" s="35"/>
      <c r="I31" s="34"/>
      <c r="J31" s="34"/>
    </row>
    <row r="32" spans="1:12" s="4" customFormat="1" ht="30.75" customHeight="1">
      <c r="A32" s="54" t="s">
        <v>136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s="4" customFormat="1" ht="25.5" customHeight="1" thickBot="1">
      <c r="A33" s="55" t="s">
        <v>156</v>
      </c>
      <c r="B33" s="56"/>
      <c r="C33" s="56"/>
      <c r="D33" s="56"/>
      <c r="E33" s="56"/>
      <c r="F33" s="56"/>
      <c r="G33" s="56"/>
      <c r="H33" s="56"/>
      <c r="I33" s="34"/>
      <c r="J33" s="34"/>
    </row>
    <row r="34" spans="1:10" s="4" customFormat="1" ht="30">
      <c r="A34" s="23" t="s">
        <v>76</v>
      </c>
      <c r="B34" s="23"/>
      <c r="C34" s="23"/>
      <c r="D34" s="23"/>
      <c r="E34" s="23"/>
      <c r="F34" s="23"/>
      <c r="G34" s="38" t="s">
        <v>77</v>
      </c>
      <c r="H34" s="39" t="s">
        <v>78</v>
      </c>
      <c r="I34" s="31" t="s">
        <v>79</v>
      </c>
      <c r="J34" s="32" t="s">
        <v>80</v>
      </c>
    </row>
    <row r="35" spans="1:10" s="4" customFormat="1" ht="33.6" customHeight="1" thickBot="1">
      <c r="A35" s="47" t="s">
        <v>144</v>
      </c>
      <c r="B35" s="48"/>
      <c r="C35" s="48"/>
      <c r="D35" s="48"/>
      <c r="E35" s="48"/>
      <c r="F35" s="49"/>
      <c r="G35" s="24" t="s">
        <v>81</v>
      </c>
      <c r="H35" s="50">
        <f>(20900-15000)/1.18</f>
        <v>5000</v>
      </c>
      <c r="I35" s="26">
        <v>0.5</v>
      </c>
      <c r="J35" s="27"/>
    </row>
    <row r="36" spans="1:10" s="4" customFormat="1">
      <c r="A36" s="28"/>
      <c r="B36" s="28"/>
      <c r="C36" s="28"/>
      <c r="D36" s="28"/>
      <c r="E36" s="28"/>
      <c r="F36" s="28"/>
      <c r="G36" s="34"/>
      <c r="H36" s="57"/>
      <c r="I36" s="53"/>
      <c r="J36" s="53"/>
    </row>
    <row r="37" spans="1:10" s="4" customFormat="1" ht="21.75" customHeight="1" thickBot="1">
      <c r="A37" s="58" t="s">
        <v>93</v>
      </c>
      <c r="B37" s="58"/>
      <c r="C37" s="58"/>
      <c r="D37" s="58"/>
      <c r="E37" s="58"/>
      <c r="F37" s="58"/>
      <c r="G37" s="58"/>
      <c r="H37" s="58"/>
      <c r="I37" s="58"/>
      <c r="J37" s="34"/>
    </row>
    <row r="38" spans="1:10" s="4" customFormat="1" ht="33.6" customHeight="1">
      <c r="A38" s="23" t="s">
        <v>76</v>
      </c>
      <c r="B38" s="23"/>
      <c r="C38" s="23"/>
      <c r="D38" s="23"/>
      <c r="E38" s="23"/>
      <c r="F38" s="23"/>
      <c r="G38" s="59" t="s">
        <v>77</v>
      </c>
      <c r="H38" s="39" t="s">
        <v>78</v>
      </c>
      <c r="I38" s="31" t="s">
        <v>79</v>
      </c>
      <c r="J38" s="32" t="s">
        <v>80</v>
      </c>
    </row>
    <row r="39" spans="1:10" s="4" customFormat="1" ht="34.5" customHeight="1">
      <c r="A39" s="23" t="s">
        <v>95</v>
      </c>
      <c r="B39" s="23"/>
      <c r="C39" s="23"/>
      <c r="D39" s="23"/>
      <c r="E39" s="23"/>
      <c r="F39" s="23"/>
      <c r="G39" s="60" t="s">
        <v>94</v>
      </c>
      <c r="H39" s="33">
        <v>0</v>
      </c>
      <c r="I39" s="27">
        <v>0.5</v>
      </c>
      <c r="J39" s="27"/>
    </row>
    <row r="40" spans="1:10" s="4" customFormat="1" ht="36.75" customHeight="1">
      <c r="A40" s="23" t="s">
        <v>96</v>
      </c>
      <c r="B40" s="23"/>
      <c r="C40" s="23"/>
      <c r="D40" s="23"/>
      <c r="E40" s="23"/>
      <c r="F40" s="23"/>
      <c r="G40" s="60" t="s">
        <v>142</v>
      </c>
      <c r="H40" s="33">
        <v>0</v>
      </c>
      <c r="I40" s="27">
        <v>0.5</v>
      </c>
      <c r="J40" s="27"/>
    </row>
    <row r="41" spans="1:10" s="4" customFormat="1" ht="15.75" thickBot="1">
      <c r="A41" s="23" t="s">
        <v>97</v>
      </c>
      <c r="B41" s="23"/>
      <c r="C41" s="23"/>
      <c r="D41" s="23"/>
      <c r="E41" s="23"/>
      <c r="F41" s="23"/>
      <c r="G41" s="60" t="s">
        <v>81</v>
      </c>
      <c r="H41" s="61">
        <v>12000</v>
      </c>
      <c r="I41" s="27">
        <v>0.5</v>
      </c>
      <c r="J41" s="27"/>
    </row>
    <row r="42" spans="1:10" s="4" customFormat="1" ht="15.75" thickBot="1">
      <c r="A42" s="23" t="s">
        <v>98</v>
      </c>
      <c r="B42" s="23"/>
      <c r="C42" s="23"/>
      <c r="D42" s="23"/>
      <c r="E42" s="23"/>
      <c r="F42" s="23"/>
      <c r="G42" s="42" t="s">
        <v>81</v>
      </c>
      <c r="H42" s="62">
        <v>30000</v>
      </c>
      <c r="I42" s="26">
        <v>0.5</v>
      </c>
      <c r="J42" s="27"/>
    </row>
    <row r="43" spans="1:10" s="4" customFormat="1">
      <c r="A43" s="34"/>
      <c r="B43" s="34"/>
      <c r="C43" s="34"/>
      <c r="D43" s="34"/>
      <c r="E43" s="34"/>
      <c r="F43" s="34"/>
      <c r="G43" s="63"/>
      <c r="H43" s="35"/>
      <c r="I43" s="34"/>
      <c r="J43" s="34"/>
    </row>
    <row r="44" spans="1:10" s="4" customFormat="1" ht="15.75" thickBot="1">
      <c r="A44" s="55" t="s">
        <v>99</v>
      </c>
      <c r="B44" s="55"/>
      <c r="C44" s="55"/>
      <c r="D44" s="55"/>
      <c r="E44" s="55"/>
      <c r="F44" s="55"/>
      <c r="G44" s="55"/>
      <c r="H44" s="35"/>
      <c r="I44" s="34"/>
      <c r="J44" s="34"/>
    </row>
    <row r="45" spans="1:10" s="4" customFormat="1" ht="41.25" customHeight="1">
      <c r="A45" s="23" t="s">
        <v>76</v>
      </c>
      <c r="B45" s="23"/>
      <c r="C45" s="23"/>
      <c r="D45" s="23"/>
      <c r="E45" s="23"/>
      <c r="F45" s="23"/>
      <c r="G45" s="38" t="s">
        <v>77</v>
      </c>
      <c r="H45" s="39" t="s">
        <v>78</v>
      </c>
      <c r="I45" s="31" t="s">
        <v>79</v>
      </c>
      <c r="J45" s="32" t="s">
        <v>80</v>
      </c>
    </row>
    <row r="46" spans="1:10" s="4" customFormat="1" ht="33.6" customHeight="1">
      <c r="A46" s="23" t="s">
        <v>91</v>
      </c>
      <c r="B46" s="23"/>
      <c r="C46" s="23"/>
      <c r="D46" s="23"/>
      <c r="E46" s="23"/>
      <c r="F46" s="23"/>
      <c r="G46" s="24" t="s">
        <v>81</v>
      </c>
      <c r="H46" s="41">
        <v>1500</v>
      </c>
      <c r="I46" s="26">
        <v>0.5</v>
      </c>
      <c r="J46" s="27"/>
    </row>
    <row r="47" spans="1:10" s="4" customFormat="1" ht="33.6" customHeight="1">
      <c r="A47" s="23" t="s">
        <v>92</v>
      </c>
      <c r="B47" s="23"/>
      <c r="C47" s="23"/>
      <c r="D47" s="23"/>
      <c r="E47" s="23"/>
      <c r="F47" s="23"/>
      <c r="G47" s="24" t="s">
        <v>81</v>
      </c>
      <c r="H47" s="41">
        <v>2000</v>
      </c>
      <c r="I47" s="26">
        <v>0.5</v>
      </c>
      <c r="J47" s="27"/>
    </row>
    <row r="48" spans="1:10" s="4" customFormat="1" ht="44.25" customHeight="1">
      <c r="A48" s="64" t="s">
        <v>216</v>
      </c>
      <c r="B48" s="65"/>
      <c r="C48" s="65"/>
      <c r="D48" s="65"/>
      <c r="E48" s="65"/>
      <c r="F48" s="66"/>
      <c r="G48" s="42" t="s">
        <v>81</v>
      </c>
      <c r="H48" s="30">
        <f>100000*(36-24)/12/100*0</f>
        <v>0</v>
      </c>
      <c r="I48" s="31">
        <v>0.5</v>
      </c>
      <c r="J48" s="27"/>
    </row>
    <row r="49" spans="1:14" s="4" customFormat="1" ht="38.25" customHeight="1">
      <c r="A49" s="47" t="s">
        <v>184</v>
      </c>
      <c r="B49" s="48"/>
      <c r="C49" s="48"/>
      <c r="D49" s="48"/>
      <c r="E49" s="48"/>
      <c r="F49" s="49"/>
      <c r="G49" s="42" t="s">
        <v>81</v>
      </c>
      <c r="H49" s="33">
        <v>1000</v>
      </c>
      <c r="I49" s="27">
        <v>0.5</v>
      </c>
      <c r="J49" s="27"/>
    </row>
    <row r="50" spans="1:14" s="4" customFormat="1">
      <c r="A50" s="34"/>
      <c r="B50" s="34"/>
      <c r="C50" s="34"/>
      <c r="D50" s="34"/>
      <c r="E50" s="34"/>
      <c r="F50" s="34"/>
      <c r="G50" s="63"/>
      <c r="H50" s="35"/>
      <c r="I50" s="34"/>
      <c r="J50" s="34"/>
    </row>
    <row r="51" spans="1:14" s="4" customFormat="1" ht="34.5" customHeight="1">
      <c r="A51" s="67" t="s">
        <v>135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4" s="4" customFormat="1" ht="15.75" thickBot="1">
      <c r="A52" s="68" t="s">
        <v>100</v>
      </c>
      <c r="B52" s="68"/>
      <c r="C52" s="68"/>
      <c r="D52" s="68"/>
      <c r="E52" s="68"/>
      <c r="F52" s="68"/>
      <c r="G52" s="46"/>
      <c r="H52" s="52"/>
      <c r="I52" s="46"/>
      <c r="J52" s="46"/>
    </row>
    <row r="53" spans="1:14" s="4" customFormat="1" ht="30.75" thickBot="1">
      <c r="A53" s="23" t="s">
        <v>76</v>
      </c>
      <c r="B53" s="23"/>
      <c r="C53" s="23"/>
      <c r="D53" s="23"/>
      <c r="E53" s="23"/>
      <c r="F53" s="47"/>
      <c r="G53" s="69" t="s">
        <v>81</v>
      </c>
      <c r="H53" s="39" t="s">
        <v>78</v>
      </c>
      <c r="I53" s="26" t="s">
        <v>79</v>
      </c>
      <c r="J53" s="32" t="s">
        <v>80</v>
      </c>
    </row>
    <row r="54" spans="1:14" s="4" customFormat="1">
      <c r="A54" s="23" t="s">
        <v>83</v>
      </c>
      <c r="B54" s="23"/>
      <c r="C54" s="23"/>
      <c r="D54" s="23"/>
      <c r="E54" s="23"/>
      <c r="F54" s="23"/>
      <c r="G54" s="70" t="s">
        <v>81</v>
      </c>
      <c r="H54" s="71">
        <v>260000</v>
      </c>
      <c r="I54" s="72">
        <v>0.5</v>
      </c>
      <c r="J54" s="27"/>
    </row>
    <row r="55" spans="1:14" s="4" customFormat="1" ht="15.75" thickBot="1">
      <c r="A55" s="47" t="s">
        <v>84</v>
      </c>
      <c r="B55" s="48"/>
      <c r="C55" s="48"/>
      <c r="D55" s="48"/>
      <c r="E55" s="48"/>
      <c r="F55" s="49"/>
      <c r="G55" s="24" t="s">
        <v>81</v>
      </c>
      <c r="H55" s="50">
        <v>0</v>
      </c>
      <c r="I55" s="72">
        <v>0.5</v>
      </c>
      <c r="J55" s="27"/>
    </row>
    <row r="56" spans="1:14" s="4" customFormat="1">
      <c r="A56" s="46"/>
      <c r="B56" s="46"/>
      <c r="C56" s="46"/>
      <c r="D56" s="46"/>
      <c r="E56" s="46"/>
      <c r="F56" s="46"/>
      <c r="G56" s="46"/>
      <c r="H56" s="52"/>
      <c r="I56" s="46"/>
      <c r="J56" s="46"/>
    </row>
    <row r="57" spans="1:14" s="4" customFormat="1" ht="16.5" thickBot="1">
      <c r="A57" s="73" t="s">
        <v>101</v>
      </c>
      <c r="B57" s="73"/>
      <c r="C57" s="73"/>
      <c r="D57" s="73"/>
      <c r="E57" s="74"/>
      <c r="F57" s="74"/>
      <c r="G57" s="75"/>
      <c r="H57" s="76"/>
      <c r="I57" s="75"/>
      <c r="J57" s="75"/>
    </row>
    <row r="58" spans="1:14" s="4" customFormat="1" ht="31.9" customHeight="1">
      <c r="A58" s="23" t="s">
        <v>76</v>
      </c>
      <c r="B58" s="23"/>
      <c r="C58" s="23"/>
      <c r="D58" s="23"/>
      <c r="E58" s="23"/>
      <c r="F58" s="23"/>
      <c r="G58" s="38" t="s">
        <v>77</v>
      </c>
      <c r="H58" s="39" t="s">
        <v>78</v>
      </c>
      <c r="I58" s="31" t="s">
        <v>79</v>
      </c>
      <c r="J58" s="32" t="s">
        <v>80</v>
      </c>
      <c r="N58" s="7"/>
    </row>
    <row r="59" spans="1:14" s="4" customFormat="1" ht="31.9" customHeight="1">
      <c r="A59" s="47" t="s">
        <v>102</v>
      </c>
      <c r="B59" s="48"/>
      <c r="C59" s="48"/>
      <c r="D59" s="48"/>
      <c r="E59" s="48"/>
      <c r="F59" s="49"/>
      <c r="G59" s="24" t="s">
        <v>81</v>
      </c>
      <c r="H59" s="41">
        <v>0</v>
      </c>
      <c r="I59" s="26">
        <v>0.5</v>
      </c>
      <c r="J59" s="77"/>
    </row>
    <row r="60" spans="1:14" s="4" customFormat="1" ht="31.9" customHeight="1">
      <c r="A60" s="78" t="s">
        <v>145</v>
      </c>
      <c r="B60" s="79"/>
      <c r="C60" s="79"/>
      <c r="D60" s="79"/>
      <c r="E60" s="79"/>
      <c r="F60" s="80"/>
      <c r="G60" s="24" t="s">
        <v>81</v>
      </c>
      <c r="H60" s="81">
        <v>20000</v>
      </c>
      <c r="I60" s="72">
        <v>0.5</v>
      </c>
      <c r="J60" s="82"/>
    </row>
    <row r="61" spans="1:14" s="4" customFormat="1" ht="31.9" customHeight="1" thickBot="1">
      <c r="A61" s="83" t="s">
        <v>146</v>
      </c>
      <c r="B61" s="83"/>
      <c r="C61" s="83"/>
      <c r="D61" s="83"/>
      <c r="E61" s="83"/>
      <c r="F61" s="83"/>
      <c r="G61" s="24" t="s">
        <v>81</v>
      </c>
      <c r="H61" s="43">
        <v>0</v>
      </c>
      <c r="I61" s="72">
        <v>0.5</v>
      </c>
      <c r="J61" s="82"/>
    </row>
    <row r="62" spans="1:14" s="4" customFormat="1" ht="16.149999999999999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4" s="4" customFormat="1" ht="16.149999999999999" customHeight="1" thickBot="1">
      <c r="A63" s="85" t="s">
        <v>104</v>
      </c>
      <c r="B63" s="85"/>
      <c r="C63" s="85"/>
      <c r="D63" s="85"/>
      <c r="E63" s="46"/>
      <c r="F63" s="46"/>
      <c r="G63" s="46"/>
      <c r="H63" s="52"/>
      <c r="I63" s="46"/>
      <c r="J63" s="46"/>
    </row>
    <row r="64" spans="1:14" s="4" customFormat="1" ht="27.75" customHeight="1">
      <c r="A64" s="23" t="s">
        <v>76</v>
      </c>
      <c r="B64" s="23"/>
      <c r="C64" s="23"/>
      <c r="D64" s="23"/>
      <c r="E64" s="23"/>
      <c r="F64" s="23"/>
      <c r="G64" s="86" t="s">
        <v>77</v>
      </c>
      <c r="H64" s="39" t="s">
        <v>78</v>
      </c>
      <c r="I64" s="31" t="s">
        <v>79</v>
      </c>
      <c r="J64" s="32" t="s">
        <v>80</v>
      </c>
    </row>
    <row r="65" spans="1:13" s="4" customFormat="1" ht="33" customHeight="1">
      <c r="A65" s="23" t="s">
        <v>103</v>
      </c>
      <c r="B65" s="23"/>
      <c r="C65" s="23"/>
      <c r="D65" s="23"/>
      <c r="E65" s="23"/>
      <c r="F65" s="23"/>
      <c r="G65" s="24" t="s">
        <v>81</v>
      </c>
      <c r="H65" s="71">
        <v>8000</v>
      </c>
      <c r="I65" s="26">
        <v>0.5</v>
      </c>
      <c r="J65" s="27"/>
    </row>
    <row r="66" spans="1:13" s="4" customFormat="1" ht="35.25" customHeight="1">
      <c r="A66" s="23" t="s">
        <v>113</v>
      </c>
      <c r="B66" s="23"/>
      <c r="C66" s="23"/>
      <c r="D66" s="23"/>
      <c r="E66" s="23"/>
      <c r="F66" s="23"/>
      <c r="G66" s="24" t="s">
        <v>81</v>
      </c>
      <c r="H66" s="41">
        <v>0</v>
      </c>
      <c r="I66" s="26">
        <v>0.5</v>
      </c>
      <c r="J66" s="27"/>
    </row>
    <row r="67" spans="1:13" s="4" customFormat="1" ht="35.25" customHeight="1" thickBot="1">
      <c r="A67" s="23" t="s">
        <v>218</v>
      </c>
      <c r="B67" s="23"/>
      <c r="C67" s="23"/>
      <c r="D67" s="23"/>
      <c r="E67" s="23"/>
      <c r="F67" s="23"/>
      <c r="G67" s="24" t="s">
        <v>81</v>
      </c>
      <c r="H67" s="50">
        <v>0</v>
      </c>
      <c r="I67" s="26">
        <v>0.5</v>
      </c>
      <c r="J67" s="27"/>
    </row>
    <row r="68" spans="1:13" s="4" customFormat="1" ht="16.149999999999999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3" s="4" customFormat="1" ht="32.25" customHeight="1" thickBot="1">
      <c r="A69" s="87" t="s">
        <v>112</v>
      </c>
      <c r="B69" s="87"/>
      <c r="C69" s="87"/>
      <c r="D69" s="87"/>
      <c r="E69" s="87"/>
      <c r="F69" s="87"/>
      <c r="G69" s="87"/>
      <c r="H69" s="87"/>
      <c r="I69" s="87"/>
      <c r="J69" s="46"/>
    </row>
    <row r="70" spans="1:13" s="4" customFormat="1" ht="34.5" customHeight="1">
      <c r="A70" s="23" t="s">
        <v>76</v>
      </c>
      <c r="B70" s="23"/>
      <c r="C70" s="23"/>
      <c r="D70" s="23"/>
      <c r="E70" s="23"/>
      <c r="F70" s="23"/>
      <c r="G70" s="86" t="s">
        <v>77</v>
      </c>
      <c r="H70" s="39" t="s">
        <v>78</v>
      </c>
      <c r="I70" s="31" t="s">
        <v>79</v>
      </c>
      <c r="J70" s="32" t="s">
        <v>80</v>
      </c>
    </row>
    <row r="71" spans="1:13" s="4" customFormat="1" ht="35.25" customHeight="1">
      <c r="A71" s="23" t="s">
        <v>105</v>
      </c>
      <c r="B71" s="23"/>
      <c r="C71" s="23"/>
      <c r="D71" s="23"/>
      <c r="E71" s="23"/>
      <c r="F71" s="23"/>
      <c r="G71" s="24" t="s">
        <v>81</v>
      </c>
      <c r="H71" s="71">
        <v>50000</v>
      </c>
      <c r="I71" s="26">
        <v>0.5</v>
      </c>
      <c r="J71" s="27"/>
    </row>
    <row r="72" spans="1:13" s="4" customFormat="1">
      <c r="A72" s="23" t="s">
        <v>106</v>
      </c>
      <c r="B72" s="23"/>
      <c r="C72" s="23"/>
      <c r="D72" s="23"/>
      <c r="E72" s="23"/>
      <c r="F72" s="23"/>
      <c r="G72" s="24" t="s">
        <v>81</v>
      </c>
      <c r="H72" s="41">
        <v>100000</v>
      </c>
      <c r="I72" s="26">
        <v>0.5</v>
      </c>
      <c r="J72" s="27"/>
    </row>
    <row r="73" spans="1:13" s="4" customFormat="1" ht="30.75" customHeight="1" thickBot="1">
      <c r="A73" s="23" t="s">
        <v>157</v>
      </c>
      <c r="B73" s="23"/>
      <c r="C73" s="23"/>
      <c r="D73" s="23"/>
      <c r="E73" s="23"/>
      <c r="F73" s="23"/>
      <c r="G73" s="24" t="s">
        <v>81</v>
      </c>
      <c r="H73" s="50">
        <v>0</v>
      </c>
      <c r="I73" s="26">
        <v>0.5</v>
      </c>
      <c r="J73" s="33"/>
      <c r="M73" s="7"/>
    </row>
    <row r="74" spans="1:13" s="4" customFormat="1" ht="16.149999999999999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3" s="4" customFormat="1" ht="16.149999999999999" customHeight="1" thickBot="1">
      <c r="A75" s="88" t="s">
        <v>107</v>
      </c>
      <c r="B75" s="88"/>
      <c r="C75" s="88"/>
      <c r="D75" s="88"/>
      <c r="E75" s="46"/>
      <c r="F75" s="46"/>
      <c r="G75" s="46"/>
      <c r="H75" s="52"/>
      <c r="I75" s="46"/>
      <c r="J75" s="46"/>
    </row>
    <row r="76" spans="1:13" s="4" customFormat="1" ht="31.5" customHeight="1">
      <c r="A76" s="23" t="s">
        <v>76</v>
      </c>
      <c r="B76" s="23"/>
      <c r="C76" s="23"/>
      <c r="D76" s="23"/>
      <c r="E76" s="23"/>
      <c r="F76" s="23"/>
      <c r="G76" s="86" t="s">
        <v>77</v>
      </c>
      <c r="H76" s="39" t="s">
        <v>78</v>
      </c>
      <c r="I76" s="31" t="s">
        <v>79</v>
      </c>
      <c r="J76" s="32" t="s">
        <v>80</v>
      </c>
    </row>
    <row r="77" spans="1:13" s="4" customFormat="1" ht="21.75" customHeight="1">
      <c r="A77" s="23" t="s">
        <v>219</v>
      </c>
      <c r="B77" s="23"/>
      <c r="C77" s="23"/>
      <c r="D77" s="23"/>
      <c r="E77" s="23"/>
      <c r="F77" s="23"/>
      <c r="G77" s="24" t="s">
        <v>81</v>
      </c>
      <c r="H77" s="71">
        <v>0</v>
      </c>
      <c r="I77" s="26">
        <v>0.5</v>
      </c>
      <c r="J77" s="27"/>
    </row>
    <row r="78" spans="1:13" s="4" customFormat="1">
      <c r="A78" s="23" t="s">
        <v>147</v>
      </c>
      <c r="B78" s="23"/>
      <c r="C78" s="23"/>
      <c r="D78" s="23"/>
      <c r="E78" s="23"/>
      <c r="F78" s="23"/>
      <c r="G78" s="24" t="s">
        <v>81</v>
      </c>
      <c r="H78" s="41">
        <v>10000</v>
      </c>
      <c r="I78" s="26">
        <v>0.5</v>
      </c>
      <c r="J78" s="27"/>
    </row>
    <row r="79" spans="1:13" s="4" customFormat="1" ht="32.25" customHeight="1">
      <c r="A79" s="47" t="s">
        <v>220</v>
      </c>
      <c r="B79" s="48"/>
      <c r="C79" s="48"/>
      <c r="D79" s="48"/>
      <c r="E79" s="48"/>
      <c r="F79" s="49"/>
      <c r="G79" s="24" t="s">
        <v>81</v>
      </c>
      <c r="H79" s="41">
        <v>980</v>
      </c>
      <c r="I79" s="26">
        <v>0.5</v>
      </c>
      <c r="J79" s="33"/>
    </row>
    <row r="80" spans="1:13" s="4" customFormat="1" ht="31.5" customHeight="1">
      <c r="A80" s="23" t="s">
        <v>183</v>
      </c>
      <c r="B80" s="23"/>
      <c r="C80" s="23"/>
      <c r="D80" s="23"/>
      <c r="E80" s="23"/>
      <c r="F80" s="23"/>
      <c r="G80" s="24" t="s">
        <v>81</v>
      </c>
      <c r="H80" s="41">
        <v>0</v>
      </c>
      <c r="I80" s="26">
        <v>0.5</v>
      </c>
      <c r="J80" s="33"/>
    </row>
    <row r="81" spans="1:10" s="4" customFormat="1" ht="15.75" thickBot="1">
      <c r="A81" s="23" t="s">
        <v>108</v>
      </c>
      <c r="B81" s="23"/>
      <c r="C81" s="23"/>
      <c r="D81" s="23"/>
      <c r="E81" s="23"/>
      <c r="F81" s="23"/>
      <c r="G81" s="24" t="s">
        <v>81</v>
      </c>
      <c r="H81" s="50">
        <v>300</v>
      </c>
      <c r="I81" s="26">
        <v>0.5</v>
      </c>
      <c r="J81" s="33"/>
    </row>
    <row r="82" spans="1:10" s="4" customFormat="1" ht="16.149999999999999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s="4" customFormat="1" ht="15.75" thickBot="1">
      <c r="A83" s="85" t="s">
        <v>111</v>
      </c>
      <c r="B83" s="85"/>
      <c r="C83" s="85"/>
      <c r="D83" s="85"/>
      <c r="E83" s="46"/>
      <c r="F83" s="46"/>
      <c r="G83" s="46"/>
      <c r="H83" s="52"/>
      <c r="I83" s="46"/>
      <c r="J83" s="46"/>
    </row>
    <row r="84" spans="1:10" s="4" customFormat="1" ht="30">
      <c r="A84" s="23" t="s">
        <v>76</v>
      </c>
      <c r="B84" s="23"/>
      <c r="C84" s="23"/>
      <c r="D84" s="23"/>
      <c r="E84" s="23"/>
      <c r="F84" s="23"/>
      <c r="G84" s="86" t="s">
        <v>77</v>
      </c>
      <c r="H84" s="39" t="s">
        <v>78</v>
      </c>
      <c r="I84" s="31" t="s">
        <v>79</v>
      </c>
      <c r="J84" s="32" t="s">
        <v>80</v>
      </c>
    </row>
    <row r="85" spans="1:10" s="4" customFormat="1">
      <c r="A85" s="47" t="s">
        <v>110</v>
      </c>
      <c r="B85" s="48"/>
      <c r="C85" s="48"/>
      <c r="D85" s="48"/>
      <c r="E85" s="48"/>
      <c r="F85" s="49"/>
      <c r="G85" s="24" t="s">
        <v>81</v>
      </c>
      <c r="H85" s="41">
        <v>200000</v>
      </c>
      <c r="I85" s="31">
        <v>0.5</v>
      </c>
      <c r="J85" s="32"/>
    </row>
    <row r="86" spans="1:10" s="4" customFormat="1" ht="32.25" customHeight="1">
      <c r="A86" s="23" t="s">
        <v>109</v>
      </c>
      <c r="B86" s="23"/>
      <c r="C86" s="23"/>
      <c r="D86" s="23"/>
      <c r="E86" s="23"/>
      <c r="F86" s="23"/>
      <c r="G86" s="24" t="s">
        <v>81</v>
      </c>
      <c r="H86" s="71">
        <v>0</v>
      </c>
      <c r="I86" s="26">
        <v>0.5</v>
      </c>
      <c r="J86" s="27"/>
    </row>
    <row r="87" spans="1:10" s="4" customFormat="1" ht="43.5" customHeight="1">
      <c r="A87" s="23" t="s">
        <v>114</v>
      </c>
      <c r="B87" s="23"/>
      <c r="C87" s="23"/>
      <c r="D87" s="23"/>
      <c r="E87" s="23"/>
      <c r="F87" s="23"/>
      <c r="G87" s="24" t="s">
        <v>81</v>
      </c>
      <c r="H87" s="41">
        <v>0</v>
      </c>
      <c r="I87" s="26">
        <v>0.5</v>
      </c>
      <c r="J87" s="27"/>
    </row>
    <row r="88" spans="1:10" s="4" customFormat="1" ht="15.75" thickBot="1">
      <c r="A88" s="23" t="s">
        <v>158</v>
      </c>
      <c r="B88" s="23"/>
      <c r="C88" s="23"/>
      <c r="D88" s="23"/>
      <c r="E88" s="23"/>
      <c r="F88" s="23"/>
      <c r="G88" s="24" t="s">
        <v>81</v>
      </c>
      <c r="H88" s="50">
        <v>61800</v>
      </c>
      <c r="I88" s="26">
        <v>0.5</v>
      </c>
      <c r="J88" s="27"/>
    </row>
    <row r="89" spans="1:10" s="4" customFormat="1">
      <c r="A89" s="89"/>
      <c r="B89" s="89"/>
      <c r="C89" s="89"/>
      <c r="D89" s="89"/>
      <c r="E89" s="89"/>
      <c r="F89" s="89"/>
      <c r="G89" s="46"/>
      <c r="H89" s="52"/>
      <c r="I89" s="46"/>
      <c r="J89" s="46"/>
    </row>
    <row r="90" spans="1:10" s="4" customFormat="1" ht="15.75" thickBot="1">
      <c r="A90" s="90" t="s">
        <v>159</v>
      </c>
      <c r="B90" s="90"/>
      <c r="C90" s="90"/>
      <c r="D90" s="90"/>
      <c r="E90" s="91"/>
      <c r="F90" s="91"/>
      <c r="G90" s="91"/>
      <c r="H90" s="52"/>
      <c r="I90" s="46"/>
      <c r="J90" s="46"/>
    </row>
    <row r="91" spans="1:10" s="4" customFormat="1" ht="30">
      <c r="A91" s="23" t="s">
        <v>76</v>
      </c>
      <c r="B91" s="23"/>
      <c r="C91" s="23"/>
      <c r="D91" s="23"/>
      <c r="E91" s="23"/>
      <c r="F91" s="23"/>
      <c r="G91" s="86" t="s">
        <v>77</v>
      </c>
      <c r="H91" s="39" t="s">
        <v>78</v>
      </c>
      <c r="I91" s="31" t="s">
        <v>79</v>
      </c>
      <c r="J91" s="32" t="s">
        <v>80</v>
      </c>
    </row>
    <row r="92" spans="1:10" s="4" customFormat="1">
      <c r="A92" s="23" t="s">
        <v>160</v>
      </c>
      <c r="B92" s="23"/>
      <c r="C92" s="23"/>
      <c r="D92" s="23"/>
      <c r="E92" s="23"/>
      <c r="F92" s="23"/>
      <c r="G92" s="24" t="s">
        <v>81</v>
      </c>
      <c r="H92" s="71">
        <v>50000</v>
      </c>
      <c r="I92" s="26">
        <v>0.5</v>
      </c>
      <c r="J92" s="27"/>
    </row>
    <row r="93" spans="1:10" s="4" customFormat="1">
      <c r="A93" s="23" t="s">
        <v>115</v>
      </c>
      <c r="B93" s="23"/>
      <c r="C93" s="23"/>
      <c r="D93" s="23"/>
      <c r="E93" s="23"/>
      <c r="F93" s="23"/>
      <c r="G93" s="24" t="s">
        <v>81</v>
      </c>
      <c r="H93" s="41">
        <v>0</v>
      </c>
      <c r="I93" s="26">
        <v>0.5</v>
      </c>
      <c r="J93" s="27"/>
    </row>
    <row r="94" spans="1:10" s="4" customFormat="1">
      <c r="A94" s="47" t="s">
        <v>148</v>
      </c>
      <c r="B94" s="48"/>
      <c r="C94" s="48"/>
      <c r="D94" s="48"/>
      <c r="E94" s="48"/>
      <c r="F94" s="49"/>
      <c r="G94" s="24" t="s">
        <v>81</v>
      </c>
      <c r="H94" s="41">
        <v>31200</v>
      </c>
      <c r="I94" s="26">
        <v>0.5</v>
      </c>
      <c r="J94" s="27"/>
    </row>
    <row r="95" spans="1:10" s="4" customFormat="1" ht="30" customHeight="1">
      <c r="A95" s="47" t="s">
        <v>116</v>
      </c>
      <c r="B95" s="48"/>
      <c r="C95" s="48"/>
      <c r="D95" s="48"/>
      <c r="E95" s="48"/>
      <c r="F95" s="49"/>
      <c r="G95" s="24" t="s">
        <v>81</v>
      </c>
      <c r="H95" s="41">
        <v>67000</v>
      </c>
      <c r="I95" s="26">
        <v>0.5</v>
      </c>
      <c r="J95" s="33"/>
    </row>
    <row r="96" spans="1:10" s="4" customFormat="1">
      <c r="A96" s="83" t="s">
        <v>117</v>
      </c>
      <c r="B96" s="83"/>
      <c r="C96" s="83"/>
      <c r="D96" s="83"/>
      <c r="E96" s="83"/>
      <c r="F96" s="83"/>
      <c r="G96" s="24" t="s">
        <v>81</v>
      </c>
      <c r="H96" s="81">
        <v>10000</v>
      </c>
      <c r="I96" s="26">
        <v>0.5</v>
      </c>
      <c r="J96" s="44"/>
    </row>
    <row r="97" spans="1:10" s="4" customFormat="1" ht="15.75" thickBot="1">
      <c r="A97" s="83" t="s">
        <v>118</v>
      </c>
      <c r="B97" s="83"/>
      <c r="C97" s="83"/>
      <c r="D97" s="83"/>
      <c r="E97" s="83"/>
      <c r="F97" s="83"/>
      <c r="G97" s="24" t="s">
        <v>81</v>
      </c>
      <c r="H97" s="43">
        <v>30000</v>
      </c>
      <c r="I97" s="26">
        <v>0.5</v>
      </c>
      <c r="J97" s="44"/>
    </row>
    <row r="98" spans="1:10" s="4" customFormat="1">
      <c r="A98" s="89"/>
      <c r="B98" s="89"/>
      <c r="C98" s="89"/>
      <c r="D98" s="89"/>
      <c r="E98" s="89"/>
      <c r="F98" s="89"/>
      <c r="G98" s="46"/>
      <c r="H98" s="52"/>
      <c r="I98" s="46"/>
      <c r="J98" s="46"/>
    </row>
    <row r="99" spans="1:10" s="4" customFormat="1" ht="15.75" thickBot="1">
      <c r="A99" s="85" t="s">
        <v>119</v>
      </c>
      <c r="B99" s="85"/>
      <c r="C99" s="85"/>
      <c r="D99" s="85"/>
      <c r="E99" s="85"/>
      <c r="F99" s="46"/>
      <c r="G99" s="46"/>
      <c r="H99" s="52"/>
      <c r="I99" s="46"/>
      <c r="J99" s="46"/>
    </row>
    <row r="100" spans="1:10" s="4" customFormat="1" ht="30">
      <c r="A100" s="23" t="s">
        <v>76</v>
      </c>
      <c r="B100" s="23"/>
      <c r="C100" s="23"/>
      <c r="D100" s="23"/>
      <c r="E100" s="23"/>
      <c r="F100" s="23"/>
      <c r="G100" s="86" t="s">
        <v>77</v>
      </c>
      <c r="H100" s="39" t="s">
        <v>78</v>
      </c>
      <c r="I100" s="31" t="s">
        <v>79</v>
      </c>
      <c r="J100" s="32" t="s">
        <v>80</v>
      </c>
    </row>
    <row r="101" spans="1:10" s="4" customFormat="1">
      <c r="A101" s="47" t="s">
        <v>150</v>
      </c>
      <c r="B101" s="48"/>
      <c r="C101" s="48"/>
      <c r="D101" s="48"/>
      <c r="E101" s="48"/>
      <c r="F101" s="49"/>
      <c r="G101" s="24" t="s">
        <v>81</v>
      </c>
      <c r="H101" s="41">
        <v>999</v>
      </c>
      <c r="I101" s="26">
        <v>0.5</v>
      </c>
      <c r="J101" s="32"/>
    </row>
    <row r="102" spans="1:10" s="4" customFormat="1">
      <c r="A102" s="47" t="s">
        <v>120</v>
      </c>
      <c r="B102" s="48"/>
      <c r="C102" s="48"/>
      <c r="D102" s="48"/>
      <c r="E102" s="48"/>
      <c r="F102" s="49"/>
      <c r="G102" s="24" t="s">
        <v>81</v>
      </c>
      <c r="H102" s="41">
        <v>0</v>
      </c>
      <c r="I102" s="26">
        <v>0.5</v>
      </c>
      <c r="J102" s="32"/>
    </row>
    <row r="103" spans="1:10" s="4" customFormat="1" ht="30" customHeight="1">
      <c r="A103" s="64" t="s">
        <v>149</v>
      </c>
      <c r="B103" s="65"/>
      <c r="C103" s="65"/>
      <c r="D103" s="65"/>
      <c r="E103" s="65"/>
      <c r="F103" s="66"/>
      <c r="G103" s="24" t="s">
        <v>81</v>
      </c>
      <c r="H103" s="41">
        <f>3500-(20000*10%)</f>
        <v>1500</v>
      </c>
      <c r="I103" s="26">
        <v>0.5</v>
      </c>
      <c r="J103" s="77"/>
    </row>
    <row r="104" spans="1:10" s="4" customFormat="1" ht="26.25" customHeight="1">
      <c r="A104" s="92" t="s">
        <v>121</v>
      </c>
      <c r="B104" s="93"/>
      <c r="C104" s="93"/>
      <c r="D104" s="93"/>
      <c r="E104" s="93"/>
      <c r="F104" s="94"/>
      <c r="G104" s="24" t="s">
        <v>81</v>
      </c>
      <c r="H104" s="95">
        <f>944/1.18</f>
        <v>800</v>
      </c>
      <c r="I104" s="96">
        <v>0.5</v>
      </c>
      <c r="J104" s="77"/>
    </row>
    <row r="105" spans="1:10" s="4" customFormat="1" ht="31.5" customHeight="1" thickBot="1">
      <c r="A105" s="64" t="s">
        <v>122</v>
      </c>
      <c r="B105" s="65"/>
      <c r="C105" s="65"/>
      <c r="D105" s="65"/>
      <c r="E105" s="65"/>
      <c r="F105" s="66"/>
      <c r="G105" s="24" t="s">
        <v>81</v>
      </c>
      <c r="H105" s="43">
        <v>0</v>
      </c>
      <c r="I105" s="72">
        <v>0.5</v>
      </c>
      <c r="J105" s="97"/>
    </row>
    <row r="106" spans="1:10" s="4" customFormat="1">
      <c r="A106" s="98"/>
      <c r="B106" s="98"/>
      <c r="C106" s="98"/>
      <c r="D106" s="98"/>
      <c r="E106" s="98"/>
      <c r="F106" s="98"/>
      <c r="G106" s="34"/>
      <c r="H106" s="35"/>
      <c r="I106" s="34"/>
      <c r="J106" s="34"/>
    </row>
    <row r="107" spans="1:10" s="4" customFormat="1" ht="15.75" thickBot="1">
      <c r="A107" s="99" t="s">
        <v>123</v>
      </c>
      <c r="B107" s="99"/>
      <c r="C107" s="99"/>
      <c r="D107" s="99"/>
      <c r="E107" s="46"/>
      <c r="F107" s="46"/>
      <c r="G107" s="46"/>
      <c r="H107" s="52"/>
      <c r="I107" s="46"/>
      <c r="J107" s="46"/>
    </row>
    <row r="108" spans="1:10" s="4" customFormat="1" ht="30">
      <c r="A108" s="23" t="s">
        <v>76</v>
      </c>
      <c r="B108" s="23"/>
      <c r="C108" s="23"/>
      <c r="D108" s="23"/>
      <c r="E108" s="23"/>
      <c r="F108" s="23"/>
      <c r="G108" s="100" t="s">
        <v>77</v>
      </c>
      <c r="H108" s="39" t="s">
        <v>78</v>
      </c>
      <c r="I108" s="31" t="s">
        <v>79</v>
      </c>
      <c r="J108" s="32" t="s">
        <v>80</v>
      </c>
    </row>
    <row r="109" spans="1:10" s="4" customFormat="1">
      <c r="A109" s="47" t="s">
        <v>124</v>
      </c>
      <c r="B109" s="48"/>
      <c r="C109" s="48"/>
      <c r="D109" s="48"/>
      <c r="E109" s="48"/>
      <c r="F109" s="49"/>
      <c r="G109" s="70" t="s">
        <v>81</v>
      </c>
      <c r="H109" s="101">
        <v>0</v>
      </c>
      <c r="I109" s="26">
        <v>0.5</v>
      </c>
      <c r="J109" s="102"/>
    </row>
    <row r="110" spans="1:10" s="4" customFormat="1" ht="15.75" thickBot="1">
      <c r="A110" s="78" t="s">
        <v>125</v>
      </c>
      <c r="B110" s="79"/>
      <c r="C110" s="79"/>
      <c r="D110" s="79"/>
      <c r="E110" s="79"/>
      <c r="F110" s="80"/>
      <c r="G110" s="70" t="s">
        <v>81</v>
      </c>
      <c r="H110" s="103">
        <f>9440/1.18</f>
        <v>8000</v>
      </c>
      <c r="I110" s="96">
        <v>0.5</v>
      </c>
      <c r="J110" s="104"/>
    </row>
    <row r="111" spans="1:10" s="4" customFormat="1">
      <c r="A111" s="46"/>
      <c r="B111" s="46"/>
      <c r="C111" s="46"/>
      <c r="D111" s="46"/>
      <c r="E111" s="46"/>
      <c r="F111" s="46"/>
      <c r="G111" s="46"/>
      <c r="H111" s="52"/>
      <c r="I111" s="46"/>
      <c r="J111" s="46"/>
    </row>
    <row r="112" spans="1:10" s="4" customFormat="1" ht="16.5" thickBot="1">
      <c r="A112" s="105" t="s">
        <v>126</v>
      </c>
      <c r="B112" s="105"/>
      <c r="C112" s="105"/>
      <c r="D112" s="74"/>
      <c r="E112" s="74"/>
      <c r="F112" s="75"/>
      <c r="G112" s="75"/>
      <c r="H112" s="76"/>
      <c r="I112" s="75"/>
      <c r="J112" s="75"/>
    </row>
    <row r="113" spans="1:13" s="4" customFormat="1" ht="30">
      <c r="A113" s="23" t="s">
        <v>76</v>
      </c>
      <c r="B113" s="23"/>
      <c r="C113" s="23"/>
      <c r="D113" s="23"/>
      <c r="E113" s="23"/>
      <c r="F113" s="23"/>
      <c r="G113" s="38" t="s">
        <v>77</v>
      </c>
      <c r="H113" s="39" t="s">
        <v>78</v>
      </c>
      <c r="I113" s="31" t="s">
        <v>79</v>
      </c>
      <c r="J113" s="32" t="s">
        <v>80</v>
      </c>
    </row>
    <row r="114" spans="1:13" s="4" customFormat="1" ht="30.75" customHeight="1" thickBot="1">
      <c r="A114" s="64" t="s">
        <v>127</v>
      </c>
      <c r="B114" s="65"/>
      <c r="C114" s="65"/>
      <c r="D114" s="65"/>
      <c r="E114" s="65"/>
      <c r="F114" s="66"/>
      <c r="G114" s="24" t="s">
        <v>81</v>
      </c>
      <c r="H114" s="50">
        <f>2650+1300+2055+8300-(1250000*1%)</f>
        <v>1805</v>
      </c>
      <c r="I114" s="26">
        <v>0.5</v>
      </c>
      <c r="J114" s="77"/>
      <c r="K114" s="7"/>
    </row>
    <row r="115" spans="1:13" s="4" customFormat="1">
      <c r="A115" s="46"/>
      <c r="B115" s="46"/>
      <c r="C115" s="46"/>
      <c r="D115" s="46"/>
      <c r="E115" s="46"/>
      <c r="F115" s="46"/>
      <c r="G115" s="46"/>
      <c r="H115" s="52"/>
      <c r="I115" s="46"/>
      <c r="J115" s="46"/>
    </row>
    <row r="116" spans="1:13" s="4" customFormat="1" ht="15.75" customHeight="1" thickBot="1">
      <c r="A116" s="87" t="s">
        <v>130</v>
      </c>
      <c r="B116" s="87"/>
      <c r="C116" s="87"/>
      <c r="D116" s="87"/>
      <c r="E116" s="87"/>
      <c r="F116" s="87"/>
      <c r="G116" s="87"/>
      <c r="H116" s="52"/>
      <c r="I116" s="46"/>
      <c r="J116" s="46"/>
    </row>
    <row r="117" spans="1:13" s="4" customFormat="1" ht="30.75" thickBot="1">
      <c r="A117" s="23" t="s">
        <v>76</v>
      </c>
      <c r="B117" s="23"/>
      <c r="C117" s="23"/>
      <c r="D117" s="23"/>
      <c r="E117" s="23"/>
      <c r="F117" s="47"/>
      <c r="G117" s="69" t="s">
        <v>81</v>
      </c>
      <c r="H117" s="39" t="s">
        <v>78</v>
      </c>
      <c r="I117" s="26" t="s">
        <v>79</v>
      </c>
      <c r="J117" s="32" t="s">
        <v>80</v>
      </c>
    </row>
    <row r="118" spans="1:13" s="4" customFormat="1" ht="30" customHeight="1">
      <c r="A118" s="23" t="s">
        <v>129</v>
      </c>
      <c r="B118" s="23"/>
      <c r="C118" s="23"/>
      <c r="D118" s="23"/>
      <c r="E118" s="23"/>
      <c r="F118" s="23"/>
      <c r="G118" s="70" t="s">
        <v>81</v>
      </c>
      <c r="H118" s="71">
        <v>20000</v>
      </c>
      <c r="I118" s="72">
        <v>0.5</v>
      </c>
      <c r="J118" s="27"/>
    </row>
    <row r="119" spans="1:13" s="4" customFormat="1" ht="30" customHeight="1" thickBot="1">
      <c r="A119" s="47" t="s">
        <v>128</v>
      </c>
      <c r="B119" s="48"/>
      <c r="C119" s="48"/>
      <c r="D119" s="48"/>
      <c r="E119" s="48"/>
      <c r="F119" s="49"/>
      <c r="G119" s="24" t="s">
        <v>81</v>
      </c>
      <c r="H119" s="50">
        <v>5000</v>
      </c>
      <c r="I119" s="72">
        <v>0.5</v>
      </c>
      <c r="J119" s="27"/>
    </row>
    <row r="120" spans="1:13" s="4" customFormat="1" ht="30" customHeight="1">
      <c r="A120" s="34"/>
      <c r="B120" s="34"/>
      <c r="C120" s="34"/>
      <c r="D120" s="34"/>
      <c r="E120" s="34"/>
      <c r="F120" s="34"/>
      <c r="G120" s="34"/>
      <c r="H120" s="35"/>
      <c r="I120" s="53"/>
      <c r="J120" s="34"/>
    </row>
    <row r="121" spans="1:13" s="4" customFormat="1">
      <c r="A121" s="46"/>
      <c r="B121" s="46"/>
      <c r="C121" s="46"/>
      <c r="D121" s="46"/>
      <c r="E121" s="46"/>
      <c r="F121" s="46"/>
      <c r="G121" s="46"/>
      <c r="H121" s="52"/>
      <c r="I121" s="46"/>
      <c r="J121" s="46"/>
    </row>
    <row r="122" spans="1:13" s="4" customFormat="1" ht="15.75" thickBot="1">
      <c r="A122" s="87" t="s">
        <v>173</v>
      </c>
      <c r="B122" s="87"/>
      <c r="C122" s="87"/>
      <c r="D122" s="87"/>
      <c r="E122" s="87"/>
      <c r="F122" s="87"/>
      <c r="G122" s="87"/>
      <c r="H122" s="52"/>
      <c r="I122" s="46"/>
      <c r="J122" s="46"/>
      <c r="M122" s="4" t="s">
        <v>134</v>
      </c>
    </row>
    <row r="123" spans="1:13" s="4" customFormat="1" ht="30">
      <c r="A123" s="106" t="s">
        <v>76</v>
      </c>
      <c r="B123" s="106"/>
      <c r="C123" s="106"/>
      <c r="D123" s="106"/>
      <c r="E123" s="106"/>
      <c r="F123" s="107"/>
      <c r="G123" s="108" t="s">
        <v>81</v>
      </c>
      <c r="H123" s="39" t="s">
        <v>78</v>
      </c>
      <c r="I123" s="31" t="s">
        <v>79</v>
      </c>
      <c r="J123" s="32" t="s">
        <v>80</v>
      </c>
    </row>
    <row r="124" spans="1:13" s="4" customFormat="1" ht="76.5" customHeight="1">
      <c r="A124" s="109" t="s">
        <v>161</v>
      </c>
      <c r="B124" s="109"/>
      <c r="C124" s="109"/>
      <c r="D124" s="109"/>
      <c r="E124" s="109"/>
      <c r="F124" s="109"/>
      <c r="G124" s="27" t="s">
        <v>131</v>
      </c>
      <c r="H124" s="110">
        <f>'დეკლარაცია - ნაერთი'!G39</f>
        <v>24117.647058823528</v>
      </c>
      <c r="I124" s="44">
        <v>0.5</v>
      </c>
      <c r="J124" s="44"/>
    </row>
    <row r="125" spans="1:13" s="4" customFormat="1">
      <c r="A125" s="111"/>
      <c r="B125" s="111"/>
      <c r="C125" s="111"/>
      <c r="D125" s="111"/>
      <c r="E125" s="111"/>
      <c r="F125" s="111"/>
      <c r="G125" s="34"/>
      <c r="H125" s="112"/>
      <c r="I125" s="53"/>
      <c r="J125" s="53"/>
    </row>
    <row r="126" spans="1:13" s="4" customFormat="1" ht="15.75" thickBot="1">
      <c r="A126" s="113" t="s">
        <v>174</v>
      </c>
      <c r="B126" s="113"/>
      <c r="C126" s="113"/>
      <c r="D126" s="113"/>
      <c r="E126" s="113"/>
      <c r="F126" s="113"/>
      <c r="G126" s="113"/>
      <c r="H126" s="112"/>
      <c r="I126" s="53"/>
      <c r="J126" s="53"/>
    </row>
    <row r="127" spans="1:13" s="4" customFormat="1" ht="30">
      <c r="A127" s="106" t="s">
        <v>76</v>
      </c>
      <c r="B127" s="106"/>
      <c r="C127" s="106"/>
      <c r="D127" s="106"/>
      <c r="E127" s="106"/>
      <c r="F127" s="107"/>
      <c r="G127" s="108" t="s">
        <v>81</v>
      </c>
      <c r="H127" s="39" t="s">
        <v>78</v>
      </c>
      <c r="I127" s="31" t="s">
        <v>79</v>
      </c>
      <c r="J127" s="32" t="s">
        <v>80</v>
      </c>
    </row>
    <row r="128" spans="1:13" s="4" customFormat="1" ht="30">
      <c r="A128" s="114" t="s">
        <v>177</v>
      </c>
      <c r="B128" s="114"/>
      <c r="C128" s="114"/>
      <c r="D128" s="114"/>
      <c r="E128" s="114"/>
      <c r="F128" s="114"/>
      <c r="G128" s="27" t="s">
        <v>131</v>
      </c>
      <c r="H128" s="110">
        <f>25000*15%</f>
        <v>3750</v>
      </c>
      <c r="I128" s="44"/>
      <c r="J128" s="44"/>
    </row>
    <row r="129" spans="1:10" s="4" customFormat="1">
      <c r="A129" s="46"/>
      <c r="B129" s="46"/>
      <c r="C129" s="46"/>
      <c r="D129" s="46"/>
      <c r="E129" s="46"/>
      <c r="F129" s="46"/>
      <c r="G129" s="46"/>
      <c r="H129" s="52"/>
      <c r="I129" s="46"/>
      <c r="J129" s="46"/>
    </row>
    <row r="130" spans="1:10" s="4" customFormat="1" ht="32.25" customHeight="1" thickBot="1">
      <c r="A130" s="115" t="s">
        <v>221</v>
      </c>
      <c r="B130" s="115"/>
      <c r="C130" s="115"/>
      <c r="D130" s="115"/>
      <c r="E130" s="115"/>
      <c r="F130" s="115"/>
      <c r="G130" s="115"/>
      <c r="H130" s="115"/>
      <c r="I130" s="115"/>
      <c r="J130" s="115"/>
    </row>
    <row r="131" spans="1:10" s="4" customFormat="1" ht="30">
      <c r="A131" s="23" t="s">
        <v>76</v>
      </c>
      <c r="B131" s="23"/>
      <c r="C131" s="23"/>
      <c r="D131" s="23"/>
      <c r="E131" s="23"/>
      <c r="F131" s="23"/>
      <c r="G131" s="38" t="s">
        <v>77</v>
      </c>
      <c r="H131" s="39" t="s">
        <v>78</v>
      </c>
      <c r="I131" s="31" t="s">
        <v>79</v>
      </c>
      <c r="J131" s="32" t="s">
        <v>80</v>
      </c>
    </row>
    <row r="132" spans="1:10" s="4" customFormat="1" ht="30">
      <c r="A132" s="64" t="s">
        <v>133</v>
      </c>
      <c r="B132" s="65"/>
      <c r="C132" s="65"/>
      <c r="D132" s="65"/>
      <c r="E132" s="65"/>
      <c r="F132" s="66"/>
      <c r="G132" s="24" t="s">
        <v>132</v>
      </c>
      <c r="H132" s="41">
        <v>15000</v>
      </c>
      <c r="I132" s="26">
        <v>0.5</v>
      </c>
      <c r="J132" s="77"/>
    </row>
    <row r="133" spans="1:10" s="4" customFormat="1" ht="44.25" customHeight="1" thickBot="1">
      <c r="A133" s="116" t="s">
        <v>214</v>
      </c>
      <c r="B133" s="117"/>
      <c r="C133" s="117"/>
      <c r="D133" s="117"/>
      <c r="E133" s="117"/>
      <c r="F133" s="118"/>
      <c r="G133" s="24" t="s">
        <v>215</v>
      </c>
      <c r="H133" s="43">
        <v>272000</v>
      </c>
      <c r="I133" s="72">
        <v>0.5</v>
      </c>
      <c r="J133" s="44"/>
    </row>
    <row r="134" spans="1:10" s="6" customFormat="1">
      <c r="A134" s="119"/>
      <c r="B134" s="119"/>
      <c r="C134" s="119"/>
      <c r="D134" s="119"/>
      <c r="E134" s="119"/>
      <c r="F134" s="119"/>
      <c r="G134" s="34"/>
      <c r="H134" s="57"/>
      <c r="I134" s="53"/>
      <c r="J134" s="53"/>
    </row>
    <row r="135" spans="1:10" s="4" customFormat="1" ht="33.75" customHeight="1" thickBot="1">
      <c r="A135" s="115" t="s">
        <v>222</v>
      </c>
      <c r="B135" s="115"/>
      <c r="C135" s="115"/>
      <c r="D135" s="115"/>
      <c r="E135" s="115"/>
      <c r="F135" s="115"/>
      <c r="G135" s="115"/>
      <c r="H135" s="115"/>
      <c r="I135" s="115"/>
      <c r="J135" s="115"/>
    </row>
    <row r="136" spans="1:10" s="4" customFormat="1" ht="30">
      <c r="A136" s="23" t="s">
        <v>76</v>
      </c>
      <c r="B136" s="23"/>
      <c r="C136" s="23"/>
      <c r="D136" s="23"/>
      <c r="E136" s="23"/>
      <c r="F136" s="23"/>
      <c r="G136" s="59" t="s">
        <v>77</v>
      </c>
      <c r="H136" s="39" t="s">
        <v>78</v>
      </c>
      <c r="I136" s="31" t="s">
        <v>79</v>
      </c>
      <c r="J136" s="32" t="s">
        <v>80</v>
      </c>
    </row>
    <row r="137" spans="1:10" s="4" customFormat="1" ht="30">
      <c r="A137" s="64" t="s">
        <v>151</v>
      </c>
      <c r="B137" s="65"/>
      <c r="C137" s="65"/>
      <c r="D137" s="65"/>
      <c r="E137" s="65"/>
      <c r="F137" s="66"/>
      <c r="G137" s="27" t="s">
        <v>132</v>
      </c>
      <c r="H137" s="33">
        <v>2000</v>
      </c>
      <c r="I137" s="27">
        <v>0.5</v>
      </c>
      <c r="J137" s="77"/>
    </row>
    <row r="138" spans="1:10" s="4" customFormat="1" ht="30.75" thickBot="1">
      <c r="A138" s="120" t="s">
        <v>152</v>
      </c>
      <c r="B138" s="121"/>
      <c r="C138" s="121"/>
      <c r="D138" s="121"/>
      <c r="E138" s="121"/>
      <c r="F138" s="122"/>
      <c r="G138" s="27" t="s">
        <v>132</v>
      </c>
      <c r="H138" s="123">
        <v>3000</v>
      </c>
      <c r="I138" s="44">
        <v>0.5</v>
      </c>
      <c r="J138" s="44"/>
    </row>
    <row r="139" spans="1:10" s="4" customFormat="1" ht="30.75" thickBot="1">
      <c r="A139" s="83" t="s">
        <v>162</v>
      </c>
      <c r="B139" s="83"/>
      <c r="C139" s="83"/>
      <c r="D139" s="83"/>
      <c r="E139" s="83"/>
      <c r="F139" s="83"/>
      <c r="G139" s="24" t="s">
        <v>132</v>
      </c>
      <c r="H139" s="124">
        <v>75000</v>
      </c>
      <c r="I139" s="72">
        <v>0.5</v>
      </c>
      <c r="J139" s="44"/>
    </row>
    <row r="140" spans="1:10" s="4" customFormat="1">
      <c r="A140" s="46"/>
      <c r="B140" s="46"/>
      <c r="C140" s="46"/>
      <c r="D140" s="46"/>
      <c r="E140" s="125"/>
      <c r="F140" s="46"/>
      <c r="G140" s="46"/>
      <c r="H140" s="52"/>
      <c r="I140" s="46"/>
      <c r="J140" s="46"/>
    </row>
    <row r="141" spans="1:10" s="4" customFormat="1" ht="15.75" thickBot="1">
      <c r="A141" s="126" t="s">
        <v>153</v>
      </c>
      <c r="B141" s="126"/>
      <c r="C141" s="126"/>
      <c r="D141" s="126"/>
      <c r="E141" s="126"/>
      <c r="F141" s="126"/>
      <c r="G141" s="46"/>
      <c r="H141" s="52"/>
      <c r="I141" s="46"/>
      <c r="J141" s="46"/>
    </row>
    <row r="142" spans="1:10" ht="30">
      <c r="A142" s="23" t="s">
        <v>76</v>
      </c>
      <c r="B142" s="23"/>
      <c r="C142" s="23"/>
      <c r="D142" s="23"/>
      <c r="E142" s="23"/>
      <c r="F142" s="23"/>
      <c r="G142" s="38" t="s">
        <v>77</v>
      </c>
      <c r="H142" s="25" t="s">
        <v>78</v>
      </c>
      <c r="I142" s="31" t="s">
        <v>79</v>
      </c>
      <c r="J142" s="32" t="s">
        <v>80</v>
      </c>
    </row>
    <row r="143" spans="1:10" ht="30">
      <c r="A143" s="64" t="s">
        <v>154</v>
      </c>
      <c r="B143" s="65"/>
      <c r="C143" s="65"/>
      <c r="D143" s="65"/>
      <c r="E143" s="65"/>
      <c r="F143" s="66"/>
      <c r="G143" s="24" t="s">
        <v>132</v>
      </c>
      <c r="H143" s="41">
        <v>10000</v>
      </c>
      <c r="I143" s="26">
        <v>0.5</v>
      </c>
      <c r="J143" s="77"/>
    </row>
    <row r="144" spans="1:10" ht="30.75" thickBot="1">
      <c r="A144" s="116" t="s">
        <v>223</v>
      </c>
      <c r="B144" s="117"/>
      <c r="C144" s="117"/>
      <c r="D144" s="117"/>
      <c r="E144" s="117"/>
      <c r="F144" s="118"/>
      <c r="G144" s="24" t="s">
        <v>132</v>
      </c>
      <c r="H144" s="43">
        <v>30000</v>
      </c>
      <c r="I144" s="72">
        <v>0.5</v>
      </c>
      <c r="J144" s="44"/>
    </row>
    <row r="146" spans="1:10">
      <c r="A146" s="127" t="s">
        <v>186</v>
      </c>
    </row>
    <row r="148" spans="1:10" ht="28.5" customHeight="1">
      <c r="A148" s="129" t="s">
        <v>188</v>
      </c>
      <c r="B148" s="129"/>
      <c r="C148" s="130" t="s">
        <v>189</v>
      </c>
      <c r="D148" s="131" t="s">
        <v>190</v>
      </c>
      <c r="E148" s="131"/>
      <c r="F148" s="131" t="s">
        <v>191</v>
      </c>
      <c r="G148" s="131"/>
      <c r="H148" s="129" t="s">
        <v>192</v>
      </c>
    </row>
    <row r="149" spans="1:10" ht="48">
      <c r="A149" s="129"/>
      <c r="B149" s="129"/>
      <c r="C149" s="132"/>
      <c r="D149" s="133" t="s">
        <v>193</v>
      </c>
      <c r="E149" s="134" t="s">
        <v>194</v>
      </c>
      <c r="F149" s="134" t="s">
        <v>193</v>
      </c>
      <c r="G149" s="133" t="s">
        <v>194</v>
      </c>
      <c r="H149" s="129"/>
    </row>
    <row r="150" spans="1:10" s="8" customFormat="1">
      <c r="A150" s="135" t="s">
        <v>195</v>
      </c>
      <c r="B150" s="136"/>
      <c r="C150" s="137"/>
      <c r="D150" s="137">
        <f>D151+D152+D153+D154+D155+D156+D157+D158+D159</f>
        <v>458200</v>
      </c>
      <c r="E150" s="137"/>
      <c r="F150" s="137"/>
      <c r="G150" s="137"/>
      <c r="H150" s="137">
        <f>C150+D150-F150</f>
        <v>458200</v>
      </c>
      <c r="I150" s="128"/>
      <c r="J150" s="128"/>
    </row>
    <row r="151" spans="1:10">
      <c r="A151" s="138" t="s">
        <v>199</v>
      </c>
      <c r="B151" s="139"/>
      <c r="C151" s="133"/>
      <c r="D151" s="133">
        <v>50000</v>
      </c>
      <c r="E151" s="133"/>
      <c r="F151" s="133"/>
      <c r="G151" s="133"/>
      <c r="H151" s="133"/>
    </row>
    <row r="152" spans="1:10">
      <c r="A152" s="138" t="s">
        <v>200</v>
      </c>
      <c r="B152" s="139"/>
      <c r="C152" s="133"/>
      <c r="D152" s="133">
        <v>100000</v>
      </c>
      <c r="E152" s="133"/>
      <c r="F152" s="133"/>
      <c r="G152" s="133"/>
      <c r="H152" s="133"/>
    </row>
    <row r="153" spans="1:10">
      <c r="A153" s="138" t="s">
        <v>201</v>
      </c>
      <c r="B153" s="139"/>
      <c r="C153" s="133"/>
      <c r="D153" s="133">
        <v>20000</v>
      </c>
      <c r="E153" s="133"/>
      <c r="F153" s="133"/>
      <c r="G153" s="133"/>
      <c r="H153" s="133"/>
    </row>
    <row r="154" spans="1:10" ht="23.25" customHeight="1">
      <c r="A154" s="138" t="s">
        <v>205</v>
      </c>
      <c r="B154" s="139"/>
      <c r="C154" s="133"/>
      <c r="D154" s="133">
        <v>50000</v>
      </c>
      <c r="E154" s="133"/>
      <c r="F154" s="133"/>
      <c r="G154" s="133"/>
      <c r="H154" s="133"/>
    </row>
    <row r="155" spans="1:10" ht="24.75" customHeight="1">
      <c r="A155" s="138" t="s">
        <v>206</v>
      </c>
      <c r="B155" s="139"/>
      <c r="C155" s="133"/>
      <c r="D155" s="133">
        <v>100000</v>
      </c>
      <c r="E155" s="133"/>
      <c r="F155" s="133"/>
      <c r="G155" s="133"/>
      <c r="H155" s="133"/>
    </row>
    <row r="156" spans="1:10" ht="32.25" customHeight="1">
      <c r="A156" s="138" t="s">
        <v>207</v>
      </c>
      <c r="B156" s="139"/>
      <c r="C156" s="133"/>
      <c r="D156" s="133">
        <v>31200</v>
      </c>
      <c r="E156" s="133"/>
      <c r="F156" s="133"/>
      <c r="G156" s="133"/>
      <c r="H156" s="133"/>
    </row>
    <row r="157" spans="1:10" ht="32.25" customHeight="1">
      <c r="A157" s="138" t="s">
        <v>208</v>
      </c>
      <c r="B157" s="139"/>
      <c r="C157" s="133"/>
      <c r="D157" s="133">
        <v>67000</v>
      </c>
      <c r="E157" s="133"/>
      <c r="F157" s="133"/>
      <c r="G157" s="133"/>
      <c r="H157" s="133"/>
    </row>
    <row r="158" spans="1:10" ht="32.25" customHeight="1">
      <c r="A158" s="138" t="s">
        <v>209</v>
      </c>
      <c r="B158" s="139"/>
      <c r="C158" s="133"/>
      <c r="D158" s="133">
        <v>10000</v>
      </c>
      <c r="E158" s="133"/>
      <c r="F158" s="133"/>
      <c r="G158" s="133"/>
      <c r="H158" s="133"/>
    </row>
    <row r="159" spans="1:10" ht="32.25" customHeight="1">
      <c r="A159" s="138" t="s">
        <v>210</v>
      </c>
      <c r="B159" s="139"/>
      <c r="C159" s="133"/>
      <c r="D159" s="133">
        <v>30000</v>
      </c>
      <c r="E159" s="133"/>
      <c r="F159" s="133"/>
      <c r="G159" s="133"/>
      <c r="H159" s="133"/>
    </row>
    <row r="160" spans="1:10">
      <c r="A160" s="140"/>
      <c r="B160" s="141"/>
      <c r="C160" s="133"/>
      <c r="D160" s="133"/>
      <c r="E160" s="133"/>
      <c r="F160" s="133"/>
      <c r="G160" s="133"/>
      <c r="H160" s="133"/>
    </row>
    <row r="161" spans="1:11" s="8" customFormat="1">
      <c r="A161" s="135" t="s">
        <v>196</v>
      </c>
      <c r="B161" s="136"/>
      <c r="C161" s="137">
        <f>C162+C163</f>
        <v>34800</v>
      </c>
      <c r="D161" s="137"/>
      <c r="E161" s="137"/>
      <c r="F161" s="142">
        <f>F162+F163</f>
        <v>26800</v>
      </c>
      <c r="G161" s="137"/>
      <c r="H161" s="142">
        <f>C161-F161</f>
        <v>8000</v>
      </c>
      <c r="I161" s="128"/>
      <c r="J161" s="128"/>
    </row>
    <row r="162" spans="1:11">
      <c r="A162" s="138" t="s">
        <v>211</v>
      </c>
      <c r="B162" s="139"/>
      <c r="C162" s="133">
        <v>24800</v>
      </c>
      <c r="D162" s="133"/>
      <c r="E162" s="133"/>
      <c r="F162" s="134">
        <v>24800</v>
      </c>
      <c r="G162" s="133"/>
      <c r="H162" s="134">
        <f>C162-F162</f>
        <v>0</v>
      </c>
    </row>
    <row r="163" spans="1:11">
      <c r="A163" s="138" t="s">
        <v>213</v>
      </c>
      <c r="B163" s="139"/>
      <c r="C163" s="133">
        <v>10000</v>
      </c>
      <c r="D163" s="133"/>
      <c r="E163" s="133"/>
      <c r="F163" s="134">
        <v>2000</v>
      </c>
      <c r="G163" s="133"/>
      <c r="H163" s="134">
        <f>C163-F163</f>
        <v>8000</v>
      </c>
    </row>
    <row r="164" spans="1:11">
      <c r="A164" s="138"/>
      <c r="B164" s="139"/>
      <c r="C164" s="133"/>
      <c r="D164" s="133"/>
      <c r="E164" s="133"/>
      <c r="F164" s="133"/>
      <c r="G164" s="133"/>
      <c r="H164" s="133"/>
    </row>
    <row r="165" spans="1:11" ht="21" customHeight="1">
      <c r="A165" s="135" t="s">
        <v>197</v>
      </c>
      <c r="B165" s="136"/>
      <c r="C165" s="133">
        <v>30000</v>
      </c>
      <c r="D165" s="133"/>
      <c r="E165" s="133"/>
      <c r="F165" s="133"/>
      <c r="G165" s="133"/>
      <c r="H165" s="133">
        <f t="shared" ref="H165" si="0">C165-F165</f>
        <v>30000</v>
      </c>
    </row>
    <row r="166" spans="1:11" s="11" customFormat="1" ht="21" customHeight="1">
      <c r="A166" s="143"/>
      <c r="B166" s="144"/>
      <c r="C166" s="133"/>
      <c r="D166" s="133"/>
      <c r="E166" s="133"/>
      <c r="F166" s="133"/>
      <c r="G166" s="133"/>
      <c r="H166" s="133"/>
      <c r="I166" s="127"/>
      <c r="J166" s="127"/>
    </row>
    <row r="167" spans="1:11" ht="24" customHeight="1">
      <c r="A167" s="135" t="s">
        <v>198</v>
      </c>
      <c r="B167" s="136"/>
      <c r="C167" s="134">
        <f>C168+C169+C170+C171+C172</f>
        <v>320000</v>
      </c>
      <c r="D167" s="145">
        <f>D168+D169+D170+D171+D172+D173</f>
        <v>331800</v>
      </c>
      <c r="E167" s="134"/>
      <c r="F167" s="146">
        <f>F172</f>
        <v>248000</v>
      </c>
      <c r="G167" s="146">
        <f>G172</f>
        <v>32000</v>
      </c>
      <c r="H167" s="134">
        <f>C167+D167-F167</f>
        <v>403800</v>
      </c>
    </row>
    <row r="168" spans="1:11">
      <c r="A168" s="83" t="s">
        <v>217</v>
      </c>
      <c r="B168" s="83"/>
      <c r="C168" s="147">
        <v>10000</v>
      </c>
      <c r="D168" s="148">
        <v>200000</v>
      </c>
      <c r="E168" s="147"/>
      <c r="F168" s="147"/>
      <c r="G168" s="147"/>
      <c r="H168" s="134">
        <f t="shared" ref="H168:H171" si="1">C168+D168-F168</f>
        <v>210000</v>
      </c>
    </row>
    <row r="169" spans="1:11">
      <c r="A169" s="83" t="s">
        <v>202</v>
      </c>
      <c r="B169" s="83"/>
      <c r="C169" s="147">
        <v>0</v>
      </c>
      <c r="D169" s="149">
        <v>50000</v>
      </c>
      <c r="E169" s="147"/>
      <c r="F169" s="147"/>
      <c r="G169" s="147"/>
      <c r="H169" s="134">
        <f t="shared" si="1"/>
        <v>50000</v>
      </c>
    </row>
    <row r="170" spans="1:11">
      <c r="A170" s="83" t="s">
        <v>203</v>
      </c>
      <c r="B170" s="83"/>
      <c r="C170" s="147">
        <v>0</v>
      </c>
      <c r="D170" s="147">
        <f>2000*10</f>
        <v>20000</v>
      </c>
      <c r="E170" s="147"/>
      <c r="F170" s="147"/>
      <c r="G170" s="147"/>
      <c r="H170" s="134">
        <f t="shared" si="1"/>
        <v>20000</v>
      </c>
    </row>
    <row r="171" spans="1:11">
      <c r="A171" s="83" t="s">
        <v>204</v>
      </c>
      <c r="B171" s="83"/>
      <c r="C171" s="147">
        <v>0</v>
      </c>
      <c r="D171" s="147">
        <v>61800</v>
      </c>
      <c r="E171" s="147"/>
      <c r="F171" s="147"/>
      <c r="G171" s="147"/>
      <c r="H171" s="134">
        <f t="shared" si="1"/>
        <v>61800</v>
      </c>
    </row>
    <row r="172" spans="1:11">
      <c r="A172" s="83" t="s">
        <v>212</v>
      </c>
      <c r="B172" s="83"/>
      <c r="C172" s="147">
        <f>100000*3.1</f>
        <v>310000</v>
      </c>
      <c r="D172" s="147"/>
      <c r="E172" s="147"/>
      <c r="F172" s="147">
        <f>80000*3.1</f>
        <v>248000</v>
      </c>
      <c r="G172" s="147">
        <f>80000*3.1-80000*2.7</f>
        <v>32000</v>
      </c>
      <c r="H172" s="147">
        <f>20000*3.1</f>
        <v>62000</v>
      </c>
    </row>
    <row r="173" spans="1:11">
      <c r="D173" s="150"/>
    </row>
    <row r="174" spans="1:11" ht="33" customHeight="1">
      <c r="A174" s="151" t="s">
        <v>224</v>
      </c>
      <c r="B174" s="151"/>
      <c r="C174" s="151"/>
      <c r="D174" s="151"/>
      <c r="E174" s="151"/>
      <c r="F174" s="151"/>
      <c r="G174" s="151"/>
      <c r="H174" s="151"/>
      <c r="K174" s="10"/>
    </row>
  </sheetData>
  <mergeCells count="142">
    <mergeCell ref="A170:B170"/>
    <mergeCell ref="A171:B171"/>
    <mergeCell ref="A154:B154"/>
    <mergeCell ref="A155:B155"/>
    <mergeCell ref="A156:B156"/>
    <mergeCell ref="A157:B157"/>
    <mergeCell ref="A158:B158"/>
    <mergeCell ref="A159:B159"/>
    <mergeCell ref="H148:H149"/>
    <mergeCell ref="A150:B150"/>
    <mergeCell ref="A161:B161"/>
    <mergeCell ref="A165:B165"/>
    <mergeCell ref="A167:B167"/>
    <mergeCell ref="A151:B151"/>
    <mergeCell ref="A152:B152"/>
    <mergeCell ref="A153:B153"/>
    <mergeCell ref="A162:B162"/>
    <mergeCell ref="A163:B163"/>
    <mergeCell ref="A164:B164"/>
    <mergeCell ref="A148:B149"/>
    <mergeCell ref="C148:C149"/>
    <mergeCell ref="D148:E148"/>
    <mergeCell ref="F148:G148"/>
    <mergeCell ref="A168:B168"/>
    <mergeCell ref="A169:B169"/>
    <mergeCell ref="A172:B172"/>
    <mergeCell ref="A8:F8"/>
    <mergeCell ref="A11:F11"/>
    <mergeCell ref="A144:F144"/>
    <mergeCell ref="A13:J13"/>
    <mergeCell ref="A51:J51"/>
    <mergeCell ref="A124:F124"/>
    <mergeCell ref="A131:F131"/>
    <mergeCell ref="A132:F132"/>
    <mergeCell ref="A130:J130"/>
    <mergeCell ref="A117:F117"/>
    <mergeCell ref="A116:G116"/>
    <mergeCell ref="A122:G122"/>
    <mergeCell ref="A123:F123"/>
    <mergeCell ref="A118:F118"/>
    <mergeCell ref="A119:F119"/>
    <mergeCell ref="A91:F91"/>
    <mergeCell ref="A92:F92"/>
    <mergeCell ref="A93:F93"/>
    <mergeCell ref="A95:F95"/>
    <mergeCell ref="A96:F96"/>
    <mergeCell ref="A97:F97"/>
    <mergeCell ref="A101:F101"/>
    <mergeCell ref="A9:F9"/>
    <mergeCell ref="A139:F139"/>
    <mergeCell ref="A19:F19"/>
    <mergeCell ref="A30:F30"/>
    <mergeCell ref="A34:F34"/>
    <mergeCell ref="A32:J32"/>
    <mergeCell ref="A41:F41"/>
    <mergeCell ref="A42:F42"/>
    <mergeCell ref="A45:F45"/>
    <mergeCell ref="A48:F48"/>
    <mergeCell ref="A44:G44"/>
    <mergeCell ref="A37:I37"/>
    <mergeCell ref="A38:F38"/>
    <mergeCell ref="A39:F39"/>
    <mergeCell ref="A40:F40"/>
    <mergeCell ref="A27:J27"/>
    <mergeCell ref="A28:F28"/>
    <mergeCell ref="A36:F36"/>
    <mergeCell ref="A33:H33"/>
    <mergeCell ref="A64:F64"/>
    <mergeCell ref="A49:F49"/>
    <mergeCell ref="A69:I69"/>
    <mergeCell ref="A102:F102"/>
    <mergeCell ref="A10:F10"/>
    <mergeCell ref="A141:F141"/>
    <mergeCell ref="A142:F142"/>
    <mergeCell ref="A143:F143"/>
    <mergeCell ref="A58:F58"/>
    <mergeCell ref="A61:F61"/>
    <mergeCell ref="A59:F59"/>
    <mergeCell ref="A60:F60"/>
    <mergeCell ref="A52:F52"/>
    <mergeCell ref="A54:F54"/>
    <mergeCell ref="A55:F55"/>
    <mergeCell ref="A65:F65"/>
    <mergeCell ref="A66:F66"/>
    <mergeCell ref="A53:F53"/>
    <mergeCell ref="A63:D63"/>
    <mergeCell ref="A133:F133"/>
    <mergeCell ref="A134:F134"/>
    <mergeCell ref="A136:F136"/>
    <mergeCell ref="A135:J135"/>
    <mergeCell ref="A79:F79"/>
    <mergeCell ref="A137:F137"/>
    <mergeCell ref="A138:F138"/>
    <mergeCell ref="A128:F128"/>
    <mergeCell ref="A126:G126"/>
    <mergeCell ref="A127:F127"/>
    <mergeCell ref="A67:F67"/>
    <mergeCell ref="A87:F87"/>
    <mergeCell ref="A88:F88"/>
    <mergeCell ref="A78:F78"/>
    <mergeCell ref="A17:F17"/>
    <mergeCell ref="A114:F114"/>
    <mergeCell ref="A113:F113"/>
    <mergeCell ref="A107:D107"/>
    <mergeCell ref="A108:F108"/>
    <mergeCell ref="A72:F72"/>
    <mergeCell ref="A73:F73"/>
    <mergeCell ref="A76:F76"/>
    <mergeCell ref="A77:F77"/>
    <mergeCell ref="A70:F70"/>
    <mergeCell ref="A71:F71"/>
    <mergeCell ref="A80:F80"/>
    <mergeCell ref="A81:F81"/>
    <mergeCell ref="A85:F85"/>
    <mergeCell ref="A84:F84"/>
    <mergeCell ref="A83:D83"/>
    <mergeCell ref="A109:F109"/>
    <mergeCell ref="A94:F94"/>
    <mergeCell ref="A174:H174"/>
    <mergeCell ref="A15:J15"/>
    <mergeCell ref="A1:J1"/>
    <mergeCell ref="B2:J2"/>
    <mergeCell ref="A4:J4"/>
    <mergeCell ref="A6:J6"/>
    <mergeCell ref="A16:F16"/>
    <mergeCell ref="A110:F110"/>
    <mergeCell ref="A18:F18"/>
    <mergeCell ref="A20:F20"/>
    <mergeCell ref="A24:F24"/>
    <mergeCell ref="A25:F25"/>
    <mergeCell ref="A100:F100"/>
    <mergeCell ref="A103:F103"/>
    <mergeCell ref="A105:F105"/>
    <mergeCell ref="A104:F104"/>
    <mergeCell ref="A99:E99"/>
    <mergeCell ref="A22:F22"/>
    <mergeCell ref="A86:F86"/>
    <mergeCell ref="A29:F29"/>
    <mergeCell ref="A23:F23"/>
    <mergeCell ref="A35:F35"/>
    <mergeCell ref="A46:F46"/>
    <mergeCell ref="A47:F47"/>
  </mergeCells>
  <printOptions horizontalCentered="1"/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118" workbookViewId="0">
      <selection activeCell="A118" sqref="A118"/>
    </sheetView>
  </sheetViews>
  <sheetFormatPr defaultRowHeight="15"/>
  <cols>
    <col min="1" max="1" width="4.42578125" style="332" customWidth="1"/>
    <col min="2" max="2" width="7.42578125" style="332" customWidth="1"/>
    <col min="3" max="3" width="10" style="332" customWidth="1"/>
    <col min="4" max="4" width="9.5703125" style="332" bestFit="1" customWidth="1"/>
    <col min="5" max="5" width="58.42578125" style="332" customWidth="1"/>
    <col min="6" max="6" width="17.5703125" style="332" customWidth="1"/>
    <col min="7" max="7" width="12.5703125" style="332" customWidth="1"/>
    <col min="8" max="8" width="15.7109375" style="332" customWidth="1"/>
    <col min="9" max="9" width="9.140625" style="188"/>
    <col min="10" max="10" width="9.140625" style="332"/>
  </cols>
  <sheetData>
    <row r="1" spans="1:10" ht="20.25" thickBot="1">
      <c r="A1" s="185"/>
      <c r="B1" s="185"/>
      <c r="C1" s="185"/>
      <c r="D1" s="185"/>
      <c r="E1" s="185"/>
      <c r="F1" s="185"/>
      <c r="G1" s="186"/>
      <c r="H1" s="185"/>
      <c r="I1" s="187"/>
      <c r="J1" s="188"/>
    </row>
    <row r="2" spans="1:10">
      <c r="A2" s="189" t="s">
        <v>0</v>
      </c>
      <c r="B2" s="190"/>
      <c r="C2" s="190"/>
      <c r="D2" s="190"/>
      <c r="E2" s="190"/>
      <c r="F2" s="190"/>
      <c r="G2" s="190"/>
      <c r="H2" s="191"/>
      <c r="I2" s="187"/>
      <c r="J2" s="188"/>
    </row>
    <row r="3" spans="1:10">
      <c r="A3" s="192" t="s">
        <v>1</v>
      </c>
      <c r="B3" s="193"/>
      <c r="C3" s="193"/>
      <c r="D3" s="193"/>
      <c r="E3" s="193"/>
      <c r="F3" s="193"/>
      <c r="G3" s="193"/>
      <c r="H3" s="194" t="s">
        <v>2</v>
      </c>
      <c r="I3" s="195" t="s">
        <v>79</v>
      </c>
      <c r="J3" s="196" t="s">
        <v>80</v>
      </c>
    </row>
    <row r="4" spans="1:10">
      <c r="A4" s="192"/>
      <c r="B4" s="193"/>
      <c r="C4" s="193"/>
      <c r="D4" s="193"/>
      <c r="E4" s="193"/>
      <c r="F4" s="193"/>
      <c r="G4" s="193"/>
      <c r="H4" s="194"/>
      <c r="I4" s="195"/>
      <c r="J4" s="196"/>
    </row>
    <row r="5" spans="1:10">
      <c r="A5" s="197">
        <v>16</v>
      </c>
      <c r="B5" s="198" t="s">
        <v>3</v>
      </c>
      <c r="C5" s="199"/>
      <c r="D5" s="199"/>
      <c r="E5" s="199"/>
      <c r="F5" s="199"/>
      <c r="G5" s="200"/>
      <c r="H5" s="163">
        <f>G6+G10+G13+G16</f>
        <v>636127.11864406778</v>
      </c>
      <c r="I5" s="201">
        <v>0.5</v>
      </c>
      <c r="J5" s="202"/>
    </row>
    <row r="6" spans="1:10" ht="27.75" customHeight="1">
      <c r="A6" s="203"/>
      <c r="B6" s="204" t="s">
        <v>63</v>
      </c>
      <c r="C6" s="198" t="s">
        <v>4</v>
      </c>
      <c r="D6" s="199"/>
      <c r="E6" s="199"/>
      <c r="F6" s="199"/>
      <c r="G6" s="158">
        <f>F7+'სამუშაო რვეული-ნაერთი'!H10+'სამუშაო რვეული-ნაერთი'!H11</f>
        <v>255000</v>
      </c>
      <c r="H6" s="171"/>
      <c r="I6" s="205">
        <v>0.5</v>
      </c>
      <c r="J6" s="202"/>
    </row>
    <row r="7" spans="1:10" ht="27" customHeight="1">
      <c r="A7" s="203"/>
      <c r="B7" s="206"/>
      <c r="C7" s="207" t="s">
        <v>5</v>
      </c>
      <c r="D7" s="208" t="s">
        <v>6</v>
      </c>
      <c r="E7" s="209"/>
      <c r="F7" s="158">
        <f>H54</f>
        <v>200000</v>
      </c>
      <c r="G7" s="167"/>
      <c r="H7" s="172"/>
      <c r="I7" s="210"/>
      <c r="J7" s="202"/>
    </row>
    <row r="8" spans="1:10" ht="72.75" customHeight="1">
      <c r="A8" s="203"/>
      <c r="B8" s="211"/>
      <c r="C8" s="212" t="s">
        <v>54</v>
      </c>
      <c r="D8" s="208" t="s">
        <v>56</v>
      </c>
      <c r="E8" s="209"/>
      <c r="F8" s="213"/>
      <c r="G8" s="167"/>
      <c r="H8" s="172"/>
      <c r="I8" s="201"/>
      <c r="J8" s="202"/>
    </row>
    <row r="9" spans="1:10" ht="27.75" customHeight="1">
      <c r="A9" s="203"/>
      <c r="B9" s="157" t="s">
        <v>64</v>
      </c>
      <c r="C9" s="208" t="s">
        <v>7</v>
      </c>
      <c r="D9" s="214"/>
      <c r="E9" s="214"/>
      <c r="F9" s="209"/>
      <c r="G9" s="152"/>
      <c r="H9" s="172"/>
      <c r="I9" s="201"/>
      <c r="J9" s="202"/>
    </row>
    <row r="10" spans="1:10" ht="53.25" customHeight="1">
      <c r="A10" s="203"/>
      <c r="B10" s="215" t="s">
        <v>65</v>
      </c>
      <c r="C10" s="208" t="s">
        <v>8</v>
      </c>
      <c r="D10" s="214"/>
      <c r="E10" s="214"/>
      <c r="F10" s="209"/>
      <c r="G10" s="152">
        <f>F11+F12</f>
        <v>82627.118644067785</v>
      </c>
      <c r="H10" s="172"/>
      <c r="I10" s="205">
        <v>0.5</v>
      </c>
      <c r="J10" s="202"/>
    </row>
    <row r="11" spans="1:10" ht="31.5" customHeight="1">
      <c r="A11" s="203"/>
      <c r="B11" s="215"/>
      <c r="C11" s="207" t="s">
        <v>9</v>
      </c>
      <c r="D11" s="208" t="s">
        <v>10</v>
      </c>
      <c r="E11" s="209"/>
      <c r="F11" s="216">
        <f>'სამუშაო რვეული-ნაერთი'!H17+'სამუშაო რვეული-ნაერთი'!H19</f>
        <v>32627.118644067792</v>
      </c>
      <c r="G11" s="217"/>
      <c r="H11" s="172"/>
      <c r="I11" s="218"/>
      <c r="J11" s="202"/>
    </row>
    <row r="12" spans="1:10" ht="29.25" customHeight="1">
      <c r="A12" s="203"/>
      <c r="B12" s="215"/>
      <c r="C12" s="207" t="s">
        <v>11</v>
      </c>
      <c r="D12" s="208" t="s">
        <v>12</v>
      </c>
      <c r="E12" s="209"/>
      <c r="F12" s="152">
        <f>'სამუშაო რვეული-ნაერთი'!H18</f>
        <v>50000</v>
      </c>
      <c r="G12" s="219"/>
      <c r="H12" s="172"/>
      <c r="I12" s="218"/>
      <c r="J12" s="202"/>
    </row>
    <row r="13" spans="1:10" ht="51.75" customHeight="1">
      <c r="A13" s="203"/>
      <c r="B13" s="215" t="s">
        <v>66</v>
      </c>
      <c r="C13" s="198" t="s">
        <v>225</v>
      </c>
      <c r="D13" s="199"/>
      <c r="E13" s="199"/>
      <c r="F13" s="199"/>
      <c r="G13" s="158">
        <f>F14+F15</f>
        <v>103500</v>
      </c>
      <c r="H13" s="172"/>
      <c r="I13" s="220">
        <v>0.5</v>
      </c>
      <c r="J13" s="202"/>
    </row>
    <row r="14" spans="1:10" ht="29.25" customHeight="1">
      <c r="A14" s="203"/>
      <c r="B14" s="215"/>
      <c r="C14" s="207" t="s">
        <v>13</v>
      </c>
      <c r="D14" s="208" t="s">
        <v>10</v>
      </c>
      <c r="E14" s="209"/>
      <c r="F14" s="158">
        <f>'სამუშაო რვეული-ნაერთი'!H23</f>
        <v>0</v>
      </c>
      <c r="G14" s="217"/>
      <c r="H14" s="172"/>
      <c r="I14" s="220"/>
      <c r="J14" s="202"/>
    </row>
    <row r="15" spans="1:10" ht="37.5" customHeight="1">
      <c r="A15" s="203"/>
      <c r="B15" s="215"/>
      <c r="C15" s="207" t="s">
        <v>14</v>
      </c>
      <c r="D15" s="208" t="s">
        <v>12</v>
      </c>
      <c r="E15" s="209"/>
      <c r="F15" s="158">
        <f>'სამუშაო რვეული-ნაერთი'!H24+'სამუშაო რვეული-ნაერთი'!H25</f>
        <v>103500</v>
      </c>
      <c r="G15" s="219"/>
      <c r="H15" s="172"/>
      <c r="I15" s="220"/>
      <c r="J15" s="202"/>
    </row>
    <row r="16" spans="1:10" ht="32.25" customHeight="1">
      <c r="A16" s="221"/>
      <c r="B16" s="157" t="s">
        <v>67</v>
      </c>
      <c r="C16" s="222" t="s">
        <v>15</v>
      </c>
      <c r="D16" s="223"/>
      <c r="E16" s="223"/>
      <c r="F16" s="223"/>
      <c r="G16" s="152">
        <f>'სამუშაო რვეული-ნაერთი'!H29+'სამუშაო რვეული-ნაერთი'!H30</f>
        <v>195000</v>
      </c>
      <c r="H16" s="224"/>
      <c r="I16" s="225">
        <v>0.5</v>
      </c>
      <c r="J16" s="202"/>
    </row>
    <row r="17" spans="1:10" ht="31.5" customHeight="1">
      <c r="A17" s="197">
        <v>17</v>
      </c>
      <c r="B17" s="198" t="s">
        <v>226</v>
      </c>
      <c r="C17" s="199"/>
      <c r="D17" s="199"/>
      <c r="E17" s="199"/>
      <c r="F17" s="199"/>
      <c r="G17" s="200"/>
      <c r="H17" s="226">
        <f>G18+G19+G20</f>
        <v>51500</v>
      </c>
      <c r="I17" s="205">
        <v>0.5</v>
      </c>
      <c r="J17" s="202"/>
    </row>
    <row r="18" spans="1:10" ht="20.25" customHeight="1">
      <c r="A18" s="203"/>
      <c r="B18" s="227" t="s">
        <v>16</v>
      </c>
      <c r="C18" s="208" t="s">
        <v>17</v>
      </c>
      <c r="D18" s="214"/>
      <c r="E18" s="214"/>
      <c r="F18" s="209"/>
      <c r="G18" s="152">
        <f>'სამუშაო რვეული-ნაერთი'!H35</f>
        <v>5000</v>
      </c>
      <c r="H18" s="171"/>
      <c r="I18" s="218"/>
      <c r="J18" s="202"/>
    </row>
    <row r="19" spans="1:10" ht="18.75" customHeight="1">
      <c r="A19" s="203"/>
      <c r="B19" s="159" t="s">
        <v>18</v>
      </c>
      <c r="C19" s="153" t="s">
        <v>19</v>
      </c>
      <c r="D19" s="154"/>
      <c r="E19" s="154"/>
      <c r="F19" s="155"/>
      <c r="G19" s="152">
        <f>'სამუშაო რვეული-ნაერთი'!H39+'სამუშაო რვეული-ნაერთი'!H40+'სამუშაო რვეული-ნაერთი'!H41+'სამუშაო რვეული-ნაერთი'!H42</f>
        <v>42000</v>
      </c>
      <c r="H19" s="172"/>
      <c r="I19" s="218"/>
      <c r="J19" s="202"/>
    </row>
    <row r="20" spans="1:10" ht="17.25" customHeight="1">
      <c r="A20" s="221"/>
      <c r="B20" s="159" t="s">
        <v>20</v>
      </c>
      <c r="C20" s="153" t="s">
        <v>21</v>
      </c>
      <c r="D20" s="154"/>
      <c r="E20" s="154"/>
      <c r="F20" s="155"/>
      <c r="G20" s="156">
        <f>'სამუშაო რვეული-ნაერთი'!H46+'სამუშაო რვეული-ნაერთი'!H47+'სამუშაო რვეული-ნაერთი'!H48+'სამუშაო რვეული-ნაერთი'!H49</f>
        <v>4500</v>
      </c>
      <c r="H20" s="224"/>
      <c r="I20" s="210"/>
      <c r="J20" s="202"/>
    </row>
    <row r="21" spans="1:10" ht="35.25" customHeight="1">
      <c r="A21" s="197">
        <v>18</v>
      </c>
      <c r="B21" s="228" t="s">
        <v>227</v>
      </c>
      <c r="C21" s="229"/>
      <c r="D21" s="229"/>
      <c r="E21" s="229"/>
      <c r="F21" s="229"/>
      <c r="G21" s="230"/>
      <c r="H21" s="231">
        <f>G22+G28+G29+G30</f>
        <v>909280</v>
      </c>
      <c r="I21" s="201">
        <v>0.5</v>
      </c>
      <c r="J21" s="202"/>
    </row>
    <row r="22" spans="1:10" ht="37.5" customHeight="1">
      <c r="A22" s="203"/>
      <c r="B22" s="232" t="s">
        <v>22</v>
      </c>
      <c r="C22" s="228" t="s">
        <v>23</v>
      </c>
      <c r="D22" s="229"/>
      <c r="E22" s="229"/>
      <c r="F22" s="229"/>
      <c r="G22" s="158">
        <f>F23+F24+F25+F26+F27</f>
        <v>459280</v>
      </c>
      <c r="H22" s="226"/>
      <c r="I22" s="201">
        <v>0.5</v>
      </c>
      <c r="J22" s="202"/>
    </row>
    <row r="23" spans="1:10" ht="33.75" customHeight="1">
      <c r="A23" s="203"/>
      <c r="B23" s="233"/>
      <c r="C23" s="234" t="s">
        <v>24</v>
      </c>
      <c r="D23" s="208" t="s">
        <v>228</v>
      </c>
      <c r="E23" s="209"/>
      <c r="F23" s="158">
        <f>'სამუშაო რვეული-ნაერთი'!H54+'სამუშაო რვეული-ნაერთი'!H55</f>
        <v>260000</v>
      </c>
      <c r="G23" s="235"/>
      <c r="H23" s="236"/>
      <c r="I23" s="205">
        <v>0.5</v>
      </c>
      <c r="J23" s="202"/>
    </row>
    <row r="24" spans="1:10" ht="36" customHeight="1">
      <c r="A24" s="203"/>
      <c r="B24" s="233"/>
      <c r="C24" s="234" t="s">
        <v>25</v>
      </c>
      <c r="D24" s="208" t="s">
        <v>229</v>
      </c>
      <c r="E24" s="209"/>
      <c r="F24" s="158">
        <f>'სამუშაო რვეული-ნაერთი'!H59+'სამუშაო რვეული-ნაერთი'!H60+'სამუშაო რვეული-ნაერთი'!H61</f>
        <v>20000</v>
      </c>
      <c r="G24" s="237"/>
      <c r="H24" s="238"/>
      <c r="I24" s="218"/>
      <c r="J24" s="202"/>
    </row>
    <row r="25" spans="1:10" ht="25.5" customHeight="1">
      <c r="A25" s="203"/>
      <c r="B25" s="233"/>
      <c r="C25" s="234" t="s">
        <v>26</v>
      </c>
      <c r="D25" s="208" t="s">
        <v>230</v>
      </c>
      <c r="E25" s="209"/>
      <c r="F25" s="158">
        <f>'სამუშაო რვეული-ნაერთი'!H65+'სამუშაო რვეული-ნაერთი'!H66+'სამუშაო რვეული-ნაერთი'!H67+'სამუშაო რვეული-ნაერთი'!H143</f>
        <v>18000</v>
      </c>
      <c r="G25" s="237"/>
      <c r="H25" s="238"/>
      <c r="I25" s="218"/>
      <c r="J25" s="202"/>
    </row>
    <row r="26" spans="1:10" ht="34.5" customHeight="1">
      <c r="A26" s="203"/>
      <c r="B26" s="233"/>
      <c r="C26" s="234" t="s">
        <v>27</v>
      </c>
      <c r="D26" s="239" t="s">
        <v>231</v>
      </c>
      <c r="E26" s="240"/>
      <c r="F26" s="158">
        <f>'სამუშაო რვეული-ნაერთი'!H71+'სამუშაო რვეული-ნაერთი'!H72+'სამუშაო რვეული-ნაერთი'!H73</f>
        <v>150000</v>
      </c>
      <c r="G26" s="237"/>
      <c r="H26" s="238"/>
      <c r="I26" s="218"/>
      <c r="J26" s="202"/>
    </row>
    <row r="27" spans="1:10" ht="45" customHeight="1">
      <c r="A27" s="203"/>
      <c r="B27" s="241"/>
      <c r="C27" s="234" t="s">
        <v>28</v>
      </c>
      <c r="D27" s="239" t="s">
        <v>232</v>
      </c>
      <c r="E27" s="240"/>
      <c r="F27" s="158">
        <f>'სამუშაო რვეული-ნაერთი'!H77+'სამუშაო რვეული-ნაერთი'!H78+'სამუშაო რვეული-ნაერთი'!H79+'სამუშაო რვეული-ნაერთი'!H80+'სამუშაო რვეული-ნაერთი'!H81</f>
        <v>11280</v>
      </c>
      <c r="G27" s="242"/>
      <c r="H27" s="243"/>
      <c r="I27" s="210"/>
      <c r="J27" s="202"/>
    </row>
    <row r="28" spans="1:10" ht="45.75" customHeight="1">
      <c r="A28" s="203"/>
      <c r="B28" s="244" t="s">
        <v>29</v>
      </c>
      <c r="C28" s="208" t="s">
        <v>233</v>
      </c>
      <c r="D28" s="214"/>
      <c r="E28" s="214"/>
      <c r="F28" s="209"/>
      <c r="G28" s="158">
        <f>'სამუშაო რვეული-ნაერთი'!H85+'სამუშაო რვეული-ნაერთი'!H86+'სამუშაო რვეული-ნაერთი'!H87+'სამუშაო რვეული-ნაერთი'!H88</f>
        <v>261800</v>
      </c>
      <c r="H28" s="171"/>
      <c r="I28" s="201">
        <v>0.5</v>
      </c>
      <c r="J28" s="202"/>
    </row>
    <row r="29" spans="1:10" ht="42" customHeight="1">
      <c r="A29" s="203"/>
      <c r="B29" s="157" t="s">
        <v>30</v>
      </c>
      <c r="C29" s="208" t="s">
        <v>31</v>
      </c>
      <c r="D29" s="214"/>
      <c r="E29" s="214"/>
      <c r="F29" s="209"/>
      <c r="G29" s="158">
        <f>'სამუშაო რვეული-ნაერთი'!H92+'სამუშაო რვეული-ნაერთი'!H93+'სამუშაო რვეული-ნაერთი'!H94+'სამუშაო რვეული-ნაერთი'!H95+'სამუშაო რვეული-ნაერთი'!H96+'სამუშაო რვეული-ნაერთი'!H97</f>
        <v>188200</v>
      </c>
      <c r="H29" s="172"/>
      <c r="I29" s="201">
        <v>0.5</v>
      </c>
      <c r="J29" s="202"/>
    </row>
    <row r="30" spans="1:10" ht="71.25" customHeight="1">
      <c r="A30" s="221"/>
      <c r="B30" s="159" t="s">
        <v>32</v>
      </c>
      <c r="C30" s="208" t="s">
        <v>55</v>
      </c>
      <c r="D30" s="214"/>
      <c r="E30" s="214"/>
      <c r="F30" s="209"/>
      <c r="G30" s="160"/>
      <c r="H30" s="224"/>
      <c r="I30" s="201"/>
      <c r="J30" s="202"/>
    </row>
    <row r="31" spans="1:10" ht="22.5" customHeight="1">
      <c r="A31" s="245" t="s">
        <v>33</v>
      </c>
      <c r="B31" s="246" t="s">
        <v>34</v>
      </c>
      <c r="C31" s="247"/>
      <c r="D31" s="247"/>
      <c r="E31" s="247"/>
      <c r="F31" s="247"/>
      <c r="G31" s="248"/>
      <c r="H31" s="163">
        <f>'სამუშაო რვეული-ნაერთი'!H101+'სამუშაო რვეული-ნაერთი'!H102+'სამუშაო რვეული-ნაერთი'!H103+'სამუშაო რვეული-ნაერთი'!H104+'სამუშაო რვეული-ნაერთი'!H105+G32</f>
        <v>11299</v>
      </c>
      <c r="I31" s="205">
        <v>0.5</v>
      </c>
      <c r="J31" s="249"/>
    </row>
    <row r="32" spans="1:10" ht="25.5" customHeight="1">
      <c r="A32" s="250"/>
      <c r="B32" s="161" t="s">
        <v>68</v>
      </c>
      <c r="C32" s="251" t="s">
        <v>35</v>
      </c>
      <c r="D32" s="252"/>
      <c r="E32" s="252"/>
      <c r="F32" s="253"/>
      <c r="G32" s="162">
        <f>'სამუშაო რვეული-ნაერთი'!H110</f>
        <v>8000</v>
      </c>
      <c r="H32" s="226"/>
      <c r="I32" s="210"/>
      <c r="J32" s="202"/>
    </row>
    <row r="33" spans="1:10" ht="26.25" customHeight="1" thickBot="1">
      <c r="A33" s="254">
        <v>20</v>
      </c>
      <c r="B33" s="255" t="s">
        <v>36</v>
      </c>
      <c r="C33" s="256"/>
      <c r="D33" s="256"/>
      <c r="E33" s="256"/>
      <c r="F33" s="256"/>
      <c r="G33" s="257"/>
      <c r="H33" s="258">
        <f>'სამუშაო რვეული-ნაერთი'!H114</f>
        <v>1805</v>
      </c>
      <c r="I33" s="201">
        <v>0.5</v>
      </c>
      <c r="J33" s="202"/>
    </row>
    <row r="34" spans="1:10" ht="21" customHeight="1">
      <c r="A34" s="259">
        <v>21</v>
      </c>
      <c r="B34" s="255" t="s">
        <v>37</v>
      </c>
      <c r="C34" s="256"/>
      <c r="D34" s="256"/>
      <c r="E34" s="256"/>
      <c r="F34" s="256"/>
      <c r="G34" s="257"/>
      <c r="H34" s="163">
        <f>SUM(H5:H33)</f>
        <v>1610011.1186440678</v>
      </c>
      <c r="I34" s="201">
        <v>0.5</v>
      </c>
      <c r="J34" s="249"/>
    </row>
    <row r="35" spans="1:10" ht="29.25" customHeight="1">
      <c r="A35" s="259">
        <v>22</v>
      </c>
      <c r="B35" s="255" t="s">
        <v>38</v>
      </c>
      <c r="C35" s="256"/>
      <c r="D35" s="256"/>
      <c r="E35" s="256"/>
      <c r="F35" s="256"/>
      <c r="G35" s="257"/>
      <c r="H35" s="163">
        <f>'სამუშაო რვეული-ნაერთი'!H118+'სამუშაო რვეული-ნაერთი'!H119</f>
        <v>25000</v>
      </c>
      <c r="I35" s="201">
        <v>0.5</v>
      </c>
      <c r="J35" s="249"/>
    </row>
    <row r="36" spans="1:10" ht="23.25" customHeight="1">
      <c r="A36" s="259">
        <v>23</v>
      </c>
      <c r="B36" s="255" t="s">
        <v>39</v>
      </c>
      <c r="C36" s="256"/>
      <c r="D36" s="256"/>
      <c r="E36" s="256"/>
      <c r="F36" s="256"/>
      <c r="G36" s="257"/>
      <c r="H36" s="163">
        <f>(H34-H35)/0.85</f>
        <v>1864718.9631106681</v>
      </c>
      <c r="I36" s="220">
        <v>0.5</v>
      </c>
      <c r="J36" s="202"/>
    </row>
    <row r="37" spans="1:10" ht="29.25" customHeight="1">
      <c r="A37" s="259">
        <v>24</v>
      </c>
      <c r="B37" s="255" t="s">
        <v>40</v>
      </c>
      <c r="C37" s="256"/>
      <c r="D37" s="256"/>
      <c r="E37" s="256"/>
      <c r="F37" s="256"/>
      <c r="G37" s="257"/>
      <c r="H37" s="163">
        <f>H36*15%</f>
        <v>279707.84446660022</v>
      </c>
      <c r="I37" s="220"/>
      <c r="J37" s="202"/>
    </row>
    <row r="38" spans="1:10" ht="22.5" customHeight="1">
      <c r="A38" s="197">
        <v>25</v>
      </c>
      <c r="B38" s="164" t="s">
        <v>41</v>
      </c>
      <c r="C38" s="165"/>
      <c r="D38" s="165"/>
      <c r="E38" s="165"/>
      <c r="F38" s="165"/>
      <c r="G38" s="166"/>
      <c r="H38" s="163">
        <f>G39+G40+G41</f>
        <v>27867.647058823528</v>
      </c>
      <c r="I38" s="201">
        <v>0.5</v>
      </c>
      <c r="J38" s="202"/>
    </row>
    <row r="39" spans="1:10" ht="39" customHeight="1">
      <c r="A39" s="203"/>
      <c r="B39" s="159" t="s">
        <v>42</v>
      </c>
      <c r="C39" s="208" t="s">
        <v>69</v>
      </c>
      <c r="D39" s="214"/>
      <c r="E39" s="214"/>
      <c r="F39" s="209"/>
      <c r="G39" s="260">
        <f>H58</f>
        <v>24117.647058823528</v>
      </c>
      <c r="H39" s="261"/>
      <c r="I39" s="205">
        <v>0.5</v>
      </c>
      <c r="J39" s="202"/>
    </row>
    <row r="40" spans="1:10" ht="31.5" customHeight="1">
      <c r="A40" s="203"/>
      <c r="B40" s="227" t="s">
        <v>175</v>
      </c>
      <c r="C40" s="208" t="s">
        <v>178</v>
      </c>
      <c r="D40" s="214"/>
      <c r="E40" s="214"/>
      <c r="F40" s="209"/>
      <c r="G40" s="260">
        <f>'სამუშაო რვეული-ნაერთი'!H128</f>
        <v>3750</v>
      </c>
      <c r="H40" s="262"/>
      <c r="I40" s="218"/>
      <c r="J40" s="202"/>
    </row>
    <row r="41" spans="1:10" ht="64.5" customHeight="1">
      <c r="A41" s="263"/>
      <c r="B41" s="159" t="s">
        <v>176</v>
      </c>
      <c r="C41" s="208" t="s">
        <v>73</v>
      </c>
      <c r="D41" s="214"/>
      <c r="E41" s="214"/>
      <c r="F41" s="209"/>
      <c r="G41" s="167"/>
      <c r="H41" s="264"/>
      <c r="I41" s="210"/>
      <c r="J41" s="202"/>
    </row>
    <row r="42" spans="1:10" ht="43.5" customHeight="1">
      <c r="A42" s="265">
        <v>26</v>
      </c>
      <c r="B42" s="168" t="s">
        <v>43</v>
      </c>
      <c r="C42" s="169"/>
      <c r="D42" s="169"/>
      <c r="E42" s="169"/>
      <c r="F42" s="169"/>
      <c r="G42" s="170"/>
      <c r="H42" s="163">
        <f>H37-H38</f>
        <v>251840.19740777669</v>
      </c>
      <c r="I42" s="201">
        <v>0.5</v>
      </c>
      <c r="J42" s="202"/>
    </row>
    <row r="43" spans="1:10" ht="40.5" customHeight="1">
      <c r="A43" s="266">
        <v>27</v>
      </c>
      <c r="B43" s="198" t="s">
        <v>44</v>
      </c>
      <c r="C43" s="267"/>
      <c r="D43" s="267"/>
      <c r="E43" s="267"/>
      <c r="F43" s="267"/>
      <c r="G43" s="268"/>
      <c r="H43" s="163">
        <f>(G44+G45+G46)/0.85*15%</f>
        <v>70058.823529411762</v>
      </c>
      <c r="I43" s="201">
        <v>0.5</v>
      </c>
      <c r="J43" s="202"/>
    </row>
    <row r="44" spans="1:10" ht="30.75" customHeight="1">
      <c r="A44" s="269"/>
      <c r="B44" s="159" t="s">
        <v>70</v>
      </c>
      <c r="C44" s="208" t="s">
        <v>45</v>
      </c>
      <c r="D44" s="214"/>
      <c r="E44" s="214"/>
      <c r="F44" s="209"/>
      <c r="G44" s="152">
        <f>F67+F68</f>
        <v>287000</v>
      </c>
      <c r="H44" s="171"/>
      <c r="I44" s="270">
        <v>0.5</v>
      </c>
      <c r="J44" s="202"/>
    </row>
    <row r="45" spans="1:10" ht="45.75" customHeight="1">
      <c r="A45" s="269"/>
      <c r="B45" s="159" t="s">
        <v>71</v>
      </c>
      <c r="C45" s="208" t="s">
        <v>46</v>
      </c>
      <c r="D45" s="214"/>
      <c r="E45" s="214"/>
      <c r="F45" s="209"/>
      <c r="G45" s="152">
        <f>F70+F71+F72+F73+F74+F75</f>
        <v>110000</v>
      </c>
      <c r="H45" s="172"/>
      <c r="I45" s="270"/>
      <c r="J45" s="202"/>
    </row>
    <row r="46" spans="1:10" ht="45.75" customHeight="1" thickBot="1">
      <c r="A46" s="269"/>
      <c r="B46" s="227" t="s">
        <v>72</v>
      </c>
      <c r="C46" s="271" t="s">
        <v>47</v>
      </c>
      <c r="D46" s="272"/>
      <c r="E46" s="272"/>
      <c r="F46" s="273"/>
      <c r="G46" s="173"/>
      <c r="H46" s="172"/>
      <c r="I46" s="270"/>
      <c r="J46" s="202"/>
    </row>
    <row r="47" spans="1:10" ht="45.75" customHeight="1" thickBot="1">
      <c r="A47" s="274">
        <v>28</v>
      </c>
      <c r="B47" s="275" t="s">
        <v>48</v>
      </c>
      <c r="C47" s="276"/>
      <c r="D47" s="276"/>
      <c r="E47" s="276"/>
      <c r="F47" s="276"/>
      <c r="G47" s="276"/>
      <c r="H47" s="3">
        <f>H42-H43</f>
        <v>181781.37387836492</v>
      </c>
      <c r="I47" s="201">
        <v>0.5</v>
      </c>
      <c r="J47" s="202"/>
    </row>
    <row r="48" spans="1:10" ht="45.75" customHeight="1" thickBot="1">
      <c r="A48" s="277">
        <v>29</v>
      </c>
      <c r="B48" s="278" t="s">
        <v>49</v>
      </c>
      <c r="C48" s="276"/>
      <c r="D48" s="276"/>
      <c r="E48" s="276"/>
      <c r="F48" s="276"/>
      <c r="G48" s="276"/>
      <c r="H48" s="3"/>
      <c r="I48" s="201"/>
      <c r="J48" s="202"/>
    </row>
    <row r="49" spans="1:10">
      <c r="A49" s="74"/>
      <c r="B49" s="74"/>
      <c r="C49" s="74"/>
      <c r="D49" s="74"/>
      <c r="E49" s="74"/>
      <c r="F49" s="279"/>
      <c r="G49" s="279"/>
      <c r="H49" s="105"/>
      <c r="I49" s="187"/>
      <c r="J49" s="188"/>
    </row>
    <row r="50" spans="1:10" ht="15.75" thickBot="1">
      <c r="A50" s="74"/>
      <c r="B50" s="74"/>
      <c r="C50" s="74"/>
      <c r="D50" s="74"/>
      <c r="E50" s="74"/>
      <c r="F50" s="279"/>
      <c r="G50" s="280" t="s">
        <v>57</v>
      </c>
      <c r="H50" s="280"/>
      <c r="I50" s="281"/>
      <c r="J50" s="188"/>
    </row>
    <row r="51" spans="1:10">
      <c r="A51" s="282"/>
      <c r="B51" s="174" t="s">
        <v>58</v>
      </c>
      <c r="C51" s="174"/>
      <c r="D51" s="174"/>
      <c r="E51" s="174"/>
      <c r="F51" s="174"/>
      <c r="G51" s="174"/>
      <c r="H51" s="175"/>
      <c r="I51" s="187"/>
      <c r="J51" s="188"/>
    </row>
    <row r="52" spans="1:10" ht="15.75" thickBot="1">
      <c r="A52" s="283"/>
      <c r="B52" s="176"/>
      <c r="C52" s="176"/>
      <c r="D52" s="177"/>
      <c r="E52" s="177"/>
      <c r="F52" s="177"/>
      <c r="G52" s="177"/>
      <c r="H52" s="178"/>
      <c r="I52" s="187"/>
      <c r="J52" s="188"/>
    </row>
    <row r="53" spans="1:10" ht="15.75" thickBot="1">
      <c r="A53" s="39" t="s">
        <v>50</v>
      </c>
      <c r="B53" s="179" t="s">
        <v>51</v>
      </c>
      <c r="C53" s="180"/>
      <c r="D53" s="180"/>
      <c r="E53" s="180"/>
      <c r="F53" s="180"/>
      <c r="G53" s="181"/>
      <c r="H53" s="182" t="s">
        <v>52</v>
      </c>
      <c r="I53" s="187"/>
      <c r="J53" s="188"/>
    </row>
    <row r="54" spans="1:10" ht="15.75" thickBot="1">
      <c r="A54" s="62">
        <v>1</v>
      </c>
      <c r="B54" s="284" t="s">
        <v>74</v>
      </c>
      <c r="C54" s="285"/>
      <c r="D54" s="285"/>
      <c r="E54" s="285"/>
      <c r="F54" s="285"/>
      <c r="G54" s="285"/>
      <c r="H54" s="183">
        <v>200000</v>
      </c>
      <c r="I54" s="201">
        <v>0.5</v>
      </c>
      <c r="J54" s="286"/>
    </row>
    <row r="55" spans="1:10" ht="30.75" customHeight="1" thickBot="1">
      <c r="A55" s="287">
        <v>2</v>
      </c>
      <c r="B55" s="288" t="s">
        <v>59</v>
      </c>
      <c r="C55" s="288"/>
      <c r="D55" s="288"/>
      <c r="E55" s="288"/>
      <c r="F55" s="288"/>
      <c r="G55" s="208"/>
      <c r="H55" s="3">
        <f>500+71100 +10400</f>
        <v>82000</v>
      </c>
      <c r="I55" s="201">
        <v>0.5</v>
      </c>
      <c r="J55" s="286"/>
    </row>
    <row r="56" spans="1:10" ht="23.25" customHeight="1" thickBot="1">
      <c r="A56" s="289">
        <v>3</v>
      </c>
      <c r="B56" s="288" t="s">
        <v>60</v>
      </c>
      <c r="C56" s="288"/>
      <c r="D56" s="288"/>
      <c r="E56" s="288"/>
      <c r="F56" s="288"/>
      <c r="G56" s="208"/>
      <c r="H56" s="184">
        <f>-5000+515000+170000</f>
        <v>680000</v>
      </c>
      <c r="I56" s="201">
        <v>0.5</v>
      </c>
      <c r="J56" s="286"/>
    </row>
    <row r="57" spans="1:10" ht="27.75" customHeight="1" thickBot="1">
      <c r="A57" s="289">
        <v>4</v>
      </c>
      <c r="B57" s="288" t="s">
        <v>61</v>
      </c>
      <c r="C57" s="288"/>
      <c r="D57" s="288"/>
      <c r="E57" s="288"/>
      <c r="F57" s="288"/>
      <c r="G57" s="208"/>
      <c r="H57" s="3"/>
      <c r="I57" s="201"/>
      <c r="J57" s="286"/>
    </row>
    <row r="58" spans="1:10" ht="23.25" customHeight="1" thickBot="1">
      <c r="A58" s="289">
        <v>5</v>
      </c>
      <c r="B58" s="288" t="s">
        <v>53</v>
      </c>
      <c r="C58" s="288"/>
      <c r="D58" s="288"/>
      <c r="E58" s="288"/>
      <c r="F58" s="288"/>
      <c r="G58" s="208"/>
      <c r="H58" s="3">
        <f>H54*H55/H56</f>
        <v>24117.647058823528</v>
      </c>
      <c r="I58" s="201">
        <v>0.5</v>
      </c>
      <c r="J58" s="286"/>
    </row>
    <row r="59" spans="1:10" ht="15.75" thickBot="1">
      <c r="A59" s="35"/>
      <c r="B59" s="290"/>
      <c r="C59" s="291"/>
      <c r="D59" s="291"/>
      <c r="E59" s="291"/>
      <c r="F59" s="291"/>
      <c r="G59" s="291"/>
      <c r="H59" s="292"/>
      <c r="I59" s="187"/>
      <c r="J59" s="188"/>
    </row>
    <row r="60" spans="1:10" ht="15.75" thickBot="1">
      <c r="A60" s="293"/>
      <c r="B60" s="294"/>
      <c r="C60" s="294"/>
      <c r="D60" s="295" t="s">
        <v>85</v>
      </c>
      <c r="E60" s="295"/>
      <c r="F60" s="296"/>
      <c r="G60" s="297">
        <f>H54*15%/0.85</f>
        <v>35294.117647058825</v>
      </c>
      <c r="H60" s="294"/>
      <c r="I60" s="187"/>
      <c r="J60" s="188"/>
    </row>
    <row r="61" spans="1:10">
      <c r="A61" s="283"/>
      <c r="B61" s="298"/>
      <c r="C61" s="298"/>
      <c r="D61" s="298"/>
      <c r="E61" s="298"/>
      <c r="F61" s="299"/>
      <c r="G61" s="299"/>
      <c r="H61" s="300"/>
      <c r="I61" s="187"/>
      <c r="J61" s="188"/>
    </row>
    <row r="62" spans="1:10" ht="15.75" thickBot="1">
      <c r="A62" s="301"/>
      <c r="B62" s="301"/>
      <c r="C62" s="301"/>
      <c r="D62" s="302"/>
      <c r="E62" s="302"/>
      <c r="F62" s="303"/>
      <c r="G62" s="58" t="s">
        <v>234</v>
      </c>
      <c r="H62" s="58"/>
      <c r="I62" s="187"/>
      <c r="J62" s="188"/>
    </row>
    <row r="63" spans="1:10" ht="15.75" thickBot="1">
      <c r="A63" s="304" t="s">
        <v>62</v>
      </c>
      <c r="B63" s="305"/>
      <c r="C63" s="305"/>
      <c r="D63" s="305"/>
      <c r="E63" s="305"/>
      <c r="F63" s="305"/>
      <c r="G63" s="305"/>
      <c r="H63" s="306"/>
      <c r="I63" s="187"/>
      <c r="J63" s="188"/>
    </row>
    <row r="64" spans="1:10" ht="45" customHeight="1" thickBot="1">
      <c r="A64" s="307" t="s">
        <v>235</v>
      </c>
      <c r="B64" s="308"/>
      <c r="C64" s="309"/>
      <c r="D64" s="307" t="s">
        <v>236</v>
      </c>
      <c r="E64" s="309"/>
      <c r="F64" s="310" t="s">
        <v>237</v>
      </c>
      <c r="G64" s="311"/>
      <c r="H64" s="312"/>
      <c r="I64" s="281"/>
      <c r="J64" s="286"/>
    </row>
    <row r="65" spans="1:13" ht="15.75" thickBot="1">
      <c r="A65" s="313">
        <v>1</v>
      </c>
      <c r="B65" s="314"/>
      <c r="C65" s="315"/>
      <c r="D65" s="313">
        <v>2</v>
      </c>
      <c r="E65" s="315"/>
      <c r="F65" s="313">
        <v>3</v>
      </c>
      <c r="G65" s="314"/>
      <c r="H65" s="315"/>
      <c r="I65" s="281"/>
      <c r="J65" s="286"/>
    </row>
    <row r="66" spans="1:13">
      <c r="A66" s="34"/>
      <c r="B66" s="34"/>
      <c r="C66" s="34"/>
      <c r="D66" s="316" t="s">
        <v>169</v>
      </c>
      <c r="E66" s="316"/>
      <c r="F66" s="34"/>
      <c r="G66" s="34"/>
      <c r="H66" s="34"/>
      <c r="J66" s="281"/>
    </row>
    <row r="67" spans="1:13" s="9" customFormat="1">
      <c r="A67" s="23" t="s">
        <v>165</v>
      </c>
      <c r="B67" s="23"/>
      <c r="C67" s="23"/>
      <c r="D67" s="317" t="s">
        <v>24</v>
      </c>
      <c r="E67" s="317"/>
      <c r="F67" s="318">
        <f>'სამუშაო რვეული-ნაერთი'!H132</f>
        <v>15000</v>
      </c>
      <c r="G67" s="318"/>
      <c r="H67" s="318"/>
      <c r="I67" s="319">
        <v>0.5</v>
      </c>
      <c r="J67" s="320"/>
    </row>
    <row r="68" spans="1:13" s="9" customFormat="1">
      <c r="A68" s="321" t="s">
        <v>166</v>
      </c>
      <c r="B68" s="321"/>
      <c r="C68" s="321"/>
      <c r="D68" s="317" t="s">
        <v>29</v>
      </c>
      <c r="E68" s="317"/>
      <c r="F68" s="318">
        <f>'სამუშაო რვეული-ნაერთი'!H133</f>
        <v>272000</v>
      </c>
      <c r="G68" s="318"/>
      <c r="H68" s="318"/>
      <c r="I68" s="319">
        <v>0.5</v>
      </c>
      <c r="J68" s="320"/>
    </row>
    <row r="69" spans="1:13" ht="15.75">
      <c r="A69" s="322"/>
      <c r="B69" s="322"/>
      <c r="C69" s="322"/>
      <c r="D69" s="323" t="s">
        <v>170</v>
      </c>
      <c r="E69" s="324"/>
      <c r="F69" s="325"/>
      <c r="G69" s="325"/>
      <c r="H69" s="325"/>
      <c r="I69" s="281"/>
      <c r="J69" s="286"/>
    </row>
    <row r="70" spans="1:13" ht="15.75">
      <c r="A70" s="326" t="s">
        <v>167</v>
      </c>
      <c r="B70" s="326"/>
      <c r="C70" s="326"/>
      <c r="D70" s="327" t="s">
        <v>27</v>
      </c>
      <c r="E70" s="327"/>
      <c r="F70" s="328">
        <v>2000</v>
      </c>
      <c r="G70" s="328"/>
      <c r="H70" s="328"/>
      <c r="I70" s="329">
        <v>0.5</v>
      </c>
      <c r="J70" s="286"/>
    </row>
    <row r="71" spans="1:13" ht="15.75">
      <c r="A71" s="326" t="s">
        <v>168</v>
      </c>
      <c r="B71" s="326"/>
      <c r="C71" s="326"/>
      <c r="D71" s="327" t="s">
        <v>26</v>
      </c>
      <c r="E71" s="327"/>
      <c r="F71" s="328">
        <v>3000</v>
      </c>
      <c r="G71" s="328"/>
      <c r="H71" s="328"/>
      <c r="I71" s="329">
        <v>0.5</v>
      </c>
      <c r="J71" s="286"/>
    </row>
    <row r="72" spans="1:13" ht="15.75">
      <c r="A72" s="326" t="s">
        <v>171</v>
      </c>
      <c r="B72" s="326"/>
      <c r="C72" s="326"/>
      <c r="D72" s="327" t="s">
        <v>26</v>
      </c>
      <c r="E72" s="327"/>
      <c r="F72" s="328">
        <v>75000</v>
      </c>
      <c r="G72" s="328"/>
      <c r="H72" s="328"/>
      <c r="I72" s="329">
        <v>0.5</v>
      </c>
      <c r="J72" s="286"/>
    </row>
    <row r="73" spans="1:13" ht="15.75">
      <c r="A73" s="326" t="s">
        <v>171</v>
      </c>
      <c r="B73" s="326"/>
      <c r="C73" s="326"/>
      <c r="D73" s="327" t="s">
        <v>26</v>
      </c>
      <c r="E73" s="327"/>
      <c r="F73" s="328">
        <v>10000</v>
      </c>
      <c r="G73" s="328"/>
      <c r="H73" s="328"/>
      <c r="I73" s="329">
        <v>0.5</v>
      </c>
      <c r="J73" s="286"/>
    </row>
    <row r="74" spans="1:13" ht="15.75">
      <c r="A74" s="326" t="s">
        <v>168</v>
      </c>
      <c r="B74" s="326"/>
      <c r="C74" s="326"/>
      <c r="D74" s="327" t="s">
        <v>26</v>
      </c>
      <c r="E74" s="327"/>
      <c r="F74" s="328">
        <v>10000</v>
      </c>
      <c r="G74" s="328"/>
      <c r="H74" s="328"/>
      <c r="I74" s="329">
        <v>0.5</v>
      </c>
      <c r="J74" s="286"/>
      <c r="M74" s="1"/>
    </row>
    <row r="75" spans="1:13" ht="15.75">
      <c r="A75" s="326" t="s">
        <v>172</v>
      </c>
      <c r="B75" s="326"/>
      <c r="C75" s="326"/>
      <c r="D75" s="327" t="s">
        <v>26</v>
      </c>
      <c r="E75" s="327"/>
      <c r="F75" s="328">
        <v>10000</v>
      </c>
      <c r="G75" s="328"/>
      <c r="H75" s="328"/>
      <c r="I75" s="329">
        <v>0.5</v>
      </c>
      <c r="J75" s="286"/>
    </row>
    <row r="76" spans="1:13">
      <c r="A76" s="177"/>
      <c r="B76" s="177"/>
      <c r="C76" s="177"/>
      <c r="D76" s="330"/>
      <c r="E76" s="286"/>
      <c r="F76" s="286"/>
      <c r="G76" s="286"/>
      <c r="H76" s="286"/>
      <c r="I76" s="331"/>
      <c r="J76" s="286"/>
    </row>
    <row r="77" spans="1:13" ht="17.25" customHeight="1">
      <c r="H77" s="333" t="s">
        <v>186</v>
      </c>
    </row>
    <row r="78" spans="1:13" ht="17.25" customHeight="1">
      <c r="A78" s="334" t="s">
        <v>187</v>
      </c>
      <c r="B78" s="334"/>
      <c r="C78" s="334"/>
      <c r="D78" s="334"/>
      <c r="E78" s="334"/>
      <c r="F78" s="334"/>
      <c r="G78" s="335"/>
      <c r="H78" s="335"/>
      <c r="J78" s="335"/>
    </row>
    <row r="79" spans="1:13" ht="17.25" customHeight="1">
      <c r="A79" s="129" t="s">
        <v>188</v>
      </c>
      <c r="B79" s="129"/>
      <c r="C79" s="130" t="s">
        <v>189</v>
      </c>
      <c r="D79" s="131" t="s">
        <v>190</v>
      </c>
      <c r="E79" s="131"/>
      <c r="F79" s="131" t="s">
        <v>191</v>
      </c>
      <c r="G79" s="131"/>
      <c r="H79" s="129" t="s">
        <v>192</v>
      </c>
    </row>
    <row r="80" spans="1:13" ht="29.25" customHeight="1">
      <c r="A80" s="129"/>
      <c r="B80" s="129"/>
      <c r="C80" s="132"/>
      <c r="D80" s="133" t="s">
        <v>193</v>
      </c>
      <c r="E80" s="134" t="s">
        <v>194</v>
      </c>
      <c r="F80" s="134" t="s">
        <v>193</v>
      </c>
      <c r="G80" s="133" t="s">
        <v>194</v>
      </c>
      <c r="H80" s="129"/>
      <c r="M80" t="s">
        <v>155</v>
      </c>
    </row>
    <row r="81" spans="1:10" ht="32.25" customHeight="1">
      <c r="A81" s="138" t="s">
        <v>195</v>
      </c>
      <c r="B81" s="139"/>
      <c r="C81" s="133">
        <f>'სამუშაო რვეული-ნაერთი'!C150</f>
        <v>0</v>
      </c>
      <c r="D81" s="133">
        <f>'სამუშაო რვეული-ნაერთი'!D150</f>
        <v>458200</v>
      </c>
      <c r="E81" s="133">
        <f>'სამუშაო რვეული-ნაერთი'!E150</f>
        <v>0</v>
      </c>
      <c r="F81" s="133">
        <f>'სამუშაო რვეული-ნაერთი'!F150</f>
        <v>0</v>
      </c>
      <c r="G81" s="133">
        <f>'სამუშაო რვეული-ნაერთი'!G150</f>
        <v>0</v>
      </c>
      <c r="H81" s="133">
        <f>'სამუშაო რვეული-ნაერთი'!H150</f>
        <v>458200</v>
      </c>
      <c r="I81" s="202">
        <v>0.5</v>
      </c>
      <c r="J81" s="336"/>
    </row>
    <row r="82" spans="1:10" ht="29.25" customHeight="1">
      <c r="A82" s="138" t="s">
        <v>196</v>
      </c>
      <c r="B82" s="139"/>
      <c r="C82" s="133">
        <f>'სამუშაო რვეული-ნაერთი'!C167</f>
        <v>320000</v>
      </c>
      <c r="D82" s="133">
        <f>'სამუშაო რვეული-ნაერთი'!D167</f>
        <v>331800</v>
      </c>
      <c r="E82" s="133">
        <f>'სამუშაო რვეული-ნაერთი'!E167</f>
        <v>0</v>
      </c>
      <c r="F82" s="133">
        <f>'სამუშაო რვეული-ნაერთი'!F167</f>
        <v>248000</v>
      </c>
      <c r="G82" s="133">
        <f>'სამუშაო რვეული-ნაერთი'!G167</f>
        <v>32000</v>
      </c>
      <c r="H82" s="133">
        <f>'სამუშაო რვეული-ნაერთი'!H167</f>
        <v>403800</v>
      </c>
      <c r="I82" s="202">
        <v>0.5</v>
      </c>
      <c r="J82" s="336"/>
    </row>
    <row r="83" spans="1:10" ht="32.25" customHeight="1">
      <c r="A83" s="138" t="s">
        <v>197</v>
      </c>
      <c r="B83" s="139"/>
      <c r="C83" s="133">
        <f>'სამუშაო რვეული-ნაერთი'!C165</f>
        <v>30000</v>
      </c>
      <c r="D83" s="133">
        <f>'სამუშაო რვეული-ნაერთი'!D165</f>
        <v>0</v>
      </c>
      <c r="E83" s="133">
        <f>'სამუშაო რვეული-ნაერთი'!E165</f>
        <v>0</v>
      </c>
      <c r="F83" s="133">
        <f>'სამუშაო რვეული-ნაერთი'!F165</f>
        <v>0</v>
      </c>
      <c r="G83" s="133">
        <f>'სამუშაო რვეული-ნაერთი'!G165</f>
        <v>0</v>
      </c>
      <c r="H83" s="133">
        <f>'სამუშაო რვეული-ნაერთი'!H165</f>
        <v>30000</v>
      </c>
      <c r="I83" s="202">
        <v>0.5</v>
      </c>
      <c r="J83" s="336"/>
    </row>
    <row r="84" spans="1:10" ht="55.5" customHeight="1">
      <c r="A84" s="138" t="s">
        <v>198</v>
      </c>
      <c r="B84" s="139"/>
      <c r="C84" s="133">
        <f>'სამუშაო რვეული-ნაერთი'!C167</f>
        <v>320000</v>
      </c>
      <c r="D84" s="133">
        <f>'სამუშაო რვეული-ნაერთი'!D167</f>
        <v>331800</v>
      </c>
      <c r="E84" s="133">
        <f>'სამუშაო რვეული-ნაერთი'!E167</f>
        <v>0</v>
      </c>
      <c r="F84" s="133">
        <f>'სამუშაო რვეული-ნაერთი'!F167</f>
        <v>248000</v>
      </c>
      <c r="G84" s="133">
        <f>'სამუშაო რვეული-ნაერთი'!G167</f>
        <v>32000</v>
      </c>
      <c r="H84" s="133">
        <f>'სამუშაო რვეული-ნაერთი'!H167</f>
        <v>403800</v>
      </c>
      <c r="I84" s="202">
        <v>0.5</v>
      </c>
      <c r="J84" s="336"/>
    </row>
  </sheetData>
  <mergeCells count="132">
    <mergeCell ref="A84:B84"/>
    <mergeCell ref="A78:F78"/>
    <mergeCell ref="A79:B80"/>
    <mergeCell ref="C79:C80"/>
    <mergeCell ref="D79:E79"/>
    <mergeCell ref="F79:G79"/>
    <mergeCell ref="H79:H80"/>
    <mergeCell ref="A81:B81"/>
    <mergeCell ref="A82:B82"/>
    <mergeCell ref="A83:B83"/>
    <mergeCell ref="A65:C65"/>
    <mergeCell ref="D65:E65"/>
    <mergeCell ref="F65:H65"/>
    <mergeCell ref="A67:C67"/>
    <mergeCell ref="D67:E67"/>
    <mergeCell ref="F67:H67"/>
    <mergeCell ref="A69:C69"/>
    <mergeCell ref="D69:E69"/>
    <mergeCell ref="F69:H69"/>
    <mergeCell ref="D66:E66"/>
    <mergeCell ref="A62:C62"/>
    <mergeCell ref="G62:H62"/>
    <mergeCell ref="A63:H63"/>
    <mergeCell ref="A64:C64"/>
    <mergeCell ref="D64:E64"/>
    <mergeCell ref="F64:H64"/>
    <mergeCell ref="B55:G55"/>
    <mergeCell ref="B56:G56"/>
    <mergeCell ref="B57:G57"/>
    <mergeCell ref="B58:G58"/>
    <mergeCell ref="B59:G59"/>
    <mergeCell ref="D60:F60"/>
    <mergeCell ref="B47:G47"/>
    <mergeCell ref="B48:G48"/>
    <mergeCell ref="G50:H50"/>
    <mergeCell ref="B51:H51"/>
    <mergeCell ref="B53:G53"/>
    <mergeCell ref="B54:G54"/>
    <mergeCell ref="B42:G42"/>
    <mergeCell ref="A43:A46"/>
    <mergeCell ref="B43:G43"/>
    <mergeCell ref="C44:F44"/>
    <mergeCell ref="H44:H46"/>
    <mergeCell ref="I44:I46"/>
    <mergeCell ref="C45:F45"/>
    <mergeCell ref="C46:F46"/>
    <mergeCell ref="A38:A40"/>
    <mergeCell ref="B38:G38"/>
    <mergeCell ref="C39:F39"/>
    <mergeCell ref="H39:H40"/>
    <mergeCell ref="I39:I41"/>
    <mergeCell ref="C40:F40"/>
    <mergeCell ref="C41:F41"/>
    <mergeCell ref="B33:G33"/>
    <mergeCell ref="B34:G34"/>
    <mergeCell ref="B35:G35"/>
    <mergeCell ref="B36:G36"/>
    <mergeCell ref="I36:I37"/>
    <mergeCell ref="B37:G37"/>
    <mergeCell ref="C28:F28"/>
    <mergeCell ref="H28:H30"/>
    <mergeCell ref="C29:F29"/>
    <mergeCell ref="C30:F30"/>
    <mergeCell ref="A31:A32"/>
    <mergeCell ref="B31:G31"/>
    <mergeCell ref="A21:A30"/>
    <mergeCell ref="B21:G21"/>
    <mergeCell ref="B22:B27"/>
    <mergeCell ref="C22:F22"/>
    <mergeCell ref="D23:E23"/>
    <mergeCell ref="I23:I27"/>
    <mergeCell ref="D24:E24"/>
    <mergeCell ref="D25:E25"/>
    <mergeCell ref="D26:E26"/>
    <mergeCell ref="D27:E27"/>
    <mergeCell ref="I31:I32"/>
    <mergeCell ref="C32:F32"/>
    <mergeCell ref="A17:A20"/>
    <mergeCell ref="B17:G17"/>
    <mergeCell ref="I17:I20"/>
    <mergeCell ref="C18:F18"/>
    <mergeCell ref="H18:H20"/>
    <mergeCell ref="C19:F19"/>
    <mergeCell ref="C20:F20"/>
    <mergeCell ref="B13:B15"/>
    <mergeCell ref="C13:F13"/>
    <mergeCell ref="D14:E14"/>
    <mergeCell ref="G14:G15"/>
    <mergeCell ref="D15:E15"/>
    <mergeCell ref="C16:F16"/>
    <mergeCell ref="A2:H2"/>
    <mergeCell ref="A3:G4"/>
    <mergeCell ref="H3:H4"/>
    <mergeCell ref="I3:I4"/>
    <mergeCell ref="J3:J4"/>
    <mergeCell ref="A5:A16"/>
    <mergeCell ref="B5:G5"/>
    <mergeCell ref="B6:B8"/>
    <mergeCell ref="C6:F6"/>
    <mergeCell ref="H6:H16"/>
    <mergeCell ref="I6:I7"/>
    <mergeCell ref="D7:E7"/>
    <mergeCell ref="D8:E8"/>
    <mergeCell ref="C9:F9"/>
    <mergeCell ref="B10:B12"/>
    <mergeCell ref="C10:F10"/>
    <mergeCell ref="D11:E11"/>
    <mergeCell ref="G11:G12"/>
    <mergeCell ref="D12:E12"/>
    <mergeCell ref="I10:I12"/>
    <mergeCell ref="I13:I15"/>
    <mergeCell ref="A74:C74"/>
    <mergeCell ref="D74:E74"/>
    <mergeCell ref="F74:H74"/>
    <mergeCell ref="A75:C75"/>
    <mergeCell ref="D75:E75"/>
    <mergeCell ref="F75:H75"/>
    <mergeCell ref="A68:C68"/>
    <mergeCell ref="D68:E68"/>
    <mergeCell ref="F68:H68"/>
    <mergeCell ref="A73:C73"/>
    <mergeCell ref="D73:E73"/>
    <mergeCell ref="F73:H73"/>
    <mergeCell ref="A70:C70"/>
    <mergeCell ref="F70:H70"/>
    <mergeCell ref="D70:E70"/>
    <mergeCell ref="A71:C71"/>
    <mergeCell ref="D71:E71"/>
    <mergeCell ref="F71:H71"/>
    <mergeCell ref="A72:C72"/>
    <mergeCell ref="D72:E72"/>
    <mergeCell ref="F72:H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სამუშაო რვეული-ნაერთი</vt:lpstr>
      <vt:lpstr>დეკლარაცია - ნაერთი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2023-12-15T07:26:12Z</dcterms:modified>
</cp:coreProperties>
</file>