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" defaultThemeVersion="124226"/>
  <mc:AlternateContent xmlns:mc="http://schemas.openxmlformats.org/markup-compatibility/2006">
    <mc:Choice Requires="x15">
      <x15ac:absPath xmlns:x15ac="http://schemas.microsoft.com/office/spreadsheetml/2010/11/ac" url="\\server-2008\Fosta\03 Aleko\"/>
    </mc:Choice>
  </mc:AlternateContent>
  <bookViews>
    <workbookView xWindow="0" yWindow="0" windowWidth="28800" windowHeight="12435" activeTab="1"/>
  </bookViews>
  <sheets>
    <sheet name="სამუშაო რვეული" sheetId="1" r:id="rId1"/>
    <sheet name="დეკლარაცია" sheetId="3" r:id="rId2"/>
  </sheets>
  <calcPr calcId="152511"/>
</workbook>
</file>

<file path=xl/calcChain.xml><?xml version="1.0" encoding="utf-8"?>
<calcChain xmlns="http://schemas.openxmlformats.org/spreadsheetml/2006/main">
  <c r="C7" i="3" l="1"/>
  <c r="C40" i="1"/>
  <c r="G40" i="1" s="1"/>
  <c r="L25" i="1"/>
  <c r="L18" i="1"/>
  <c r="L13" i="1"/>
  <c r="K157" i="1"/>
  <c r="K153" i="1"/>
  <c r="K148" i="1"/>
  <c r="K143" i="1"/>
  <c r="K299" i="1" s="1"/>
  <c r="I123" i="1"/>
  <c r="I117" i="1"/>
  <c r="I35" i="1"/>
  <c r="I65" i="1"/>
  <c r="I83" i="1"/>
  <c r="L41" i="1" l="1"/>
  <c r="C41" i="1"/>
  <c r="J85" i="1"/>
  <c r="C36" i="1" l="1"/>
  <c r="C215" i="1" l="1"/>
  <c r="C208" i="1"/>
  <c r="C190" i="1"/>
  <c r="C70" i="1"/>
  <c r="G70" i="1" s="1"/>
  <c r="C13" i="1" l="1"/>
  <c r="C12" i="1"/>
  <c r="G13" i="1" l="1"/>
  <c r="C176" i="1"/>
  <c r="C177" i="1" s="1"/>
  <c r="C84" i="1" l="1"/>
  <c r="C171" i="1" l="1"/>
  <c r="C172" i="1" s="1"/>
  <c r="G11" i="3" s="1"/>
  <c r="C10" i="3"/>
  <c r="C10" i="1"/>
  <c r="C14" i="1" s="1"/>
  <c r="C24" i="1"/>
  <c r="G24" i="1" s="1"/>
  <c r="C25" i="1" l="1"/>
  <c r="C296" i="1"/>
  <c r="C297" i="1" s="1"/>
  <c r="E16" i="3" s="1"/>
  <c r="C285" i="1"/>
  <c r="C287" i="1" s="1"/>
  <c r="G15" i="3" s="1"/>
  <c r="C277" i="1"/>
  <c r="C279" i="1" s="1"/>
  <c r="E15" i="3" s="1"/>
  <c r="C271" i="1"/>
  <c r="C92" i="1" l="1"/>
  <c r="C265" i="1"/>
  <c r="C253" i="1"/>
  <c r="C81" i="1"/>
  <c r="G81" i="1" s="1"/>
  <c r="C82" i="1" l="1"/>
  <c r="C259" i="1"/>
  <c r="C260" i="1" s="1"/>
  <c r="C255" i="1"/>
  <c r="C75" i="1"/>
  <c r="C76" i="1" s="1"/>
  <c r="G76" i="1" s="1"/>
  <c r="C247" i="1"/>
  <c r="C246" i="1"/>
  <c r="C242" i="1"/>
  <c r="C241" i="1"/>
  <c r="C77" i="1" l="1"/>
  <c r="C248" i="1"/>
  <c r="G248" i="1" s="1"/>
  <c r="C240" i="1"/>
  <c r="C233" i="1"/>
  <c r="C232" i="1"/>
  <c r="C249" i="1" l="1"/>
  <c r="C234" i="1"/>
  <c r="C231" i="1"/>
  <c r="C235" i="1" l="1"/>
  <c r="C236" i="1" s="1"/>
  <c r="C217" i="1"/>
  <c r="C218" i="1" s="1"/>
  <c r="C202" i="1"/>
  <c r="C203" i="1" s="1"/>
  <c r="C204" i="1" s="1"/>
  <c r="C210" i="1"/>
  <c r="C211" i="1" s="1"/>
  <c r="C136" i="1"/>
  <c r="G136" i="1" s="1"/>
  <c r="C197" i="1"/>
  <c r="C192" i="1"/>
  <c r="C193" i="1" s="1"/>
  <c r="C185" i="1"/>
  <c r="C165" i="1"/>
  <c r="C167" i="1" s="1"/>
  <c r="C198" i="1" l="1"/>
  <c r="J197" i="1"/>
  <c r="E12" i="3"/>
  <c r="C186" i="1"/>
  <c r="E11" i="3"/>
  <c r="C71" i="1"/>
  <c r="C137" i="1"/>
  <c r="C131" i="1"/>
  <c r="J131" i="1" l="1"/>
  <c r="J299" i="1" s="1"/>
  <c r="C8" i="3"/>
  <c r="G14" i="3"/>
  <c r="G18" i="3" s="1"/>
  <c r="C132" i="1"/>
  <c r="C124" i="1"/>
  <c r="C118" i="1"/>
  <c r="C111" i="1"/>
  <c r="I111" i="1" s="1"/>
  <c r="C112" i="1" l="1"/>
  <c r="C105" i="1"/>
  <c r="I105" i="1" s="1"/>
  <c r="C103" i="1"/>
  <c r="I103" i="1" s="1"/>
  <c r="C98" i="1"/>
  <c r="C97" i="1"/>
  <c r="I97" i="1" l="1"/>
  <c r="I299" i="1" s="1"/>
  <c r="C106" i="1"/>
  <c r="C104" i="1"/>
  <c r="C66" i="1"/>
  <c r="C63" i="1"/>
  <c r="G63" i="1" s="1"/>
  <c r="C61" i="1"/>
  <c r="G61" i="1" s="1"/>
  <c r="C55" i="1"/>
  <c r="G55" i="1" s="1"/>
  <c r="C45" i="1"/>
  <c r="G45" i="1" s="1"/>
  <c r="C56" i="1" l="1"/>
  <c r="C62" i="1"/>
  <c r="C64" i="1"/>
  <c r="C46" i="1"/>
  <c r="C30" i="1"/>
  <c r="C31" i="1" s="1"/>
  <c r="C29" i="1"/>
  <c r="C18" i="1" l="1"/>
  <c r="G18" i="1" l="1"/>
  <c r="G299" i="1" s="1"/>
  <c r="C6" i="3"/>
  <c r="C19" i="1"/>
  <c r="E5" i="3" s="1"/>
  <c r="E18" i="3" l="1"/>
  <c r="G20" i="3" s="1"/>
</calcChain>
</file>

<file path=xl/sharedStrings.xml><?xml version="1.0" encoding="utf-8"?>
<sst xmlns="http://schemas.openxmlformats.org/spreadsheetml/2006/main" count="676" uniqueCount="270">
  <si>
    <t>გაანგარიშება</t>
  </si>
  <si>
    <t>მაჩვენებელი</t>
  </si>
  <si>
    <t>სწორი პასუხი</t>
  </si>
  <si>
    <t>შეფასება</t>
  </si>
  <si>
    <t>დაგროვილი ქულა</t>
  </si>
  <si>
    <t>დასაბეგრი თანხა</t>
  </si>
  <si>
    <t>დღგ</t>
  </si>
  <si>
    <t>არ წარმოადგენს დაბეგვრის ობიექტს</t>
  </si>
  <si>
    <t xml:space="preserve">დასაბეგრი </t>
  </si>
  <si>
    <t xml:space="preserve">15000+1000+4000=20000                                </t>
  </si>
  <si>
    <t>ჩათვლის უფლების გარეშე</t>
  </si>
  <si>
    <t xml:space="preserve"> </t>
  </si>
  <si>
    <t>2000+750+250=3000$    3000*3.3*1.5=14850</t>
  </si>
  <si>
    <t>საბაჟო ღირებულება</t>
  </si>
  <si>
    <t>14850*12%=1782</t>
  </si>
  <si>
    <t>იმპორტის გადასახადი</t>
  </si>
  <si>
    <t>(14850+1782)=16632</t>
  </si>
  <si>
    <t>16632*18%=2993.76</t>
  </si>
  <si>
    <t>ჩასათვლელი აქციზი</t>
  </si>
  <si>
    <t>4000*5=20000</t>
  </si>
  <si>
    <t>საქონლის ღირებულება</t>
  </si>
  <si>
    <t>დასარიცხიი აქციზი</t>
  </si>
  <si>
    <t>დასარიცხი დღგ</t>
  </si>
  <si>
    <t>პროპორციულად გაანგარიშებული ჩასათვლელი დღგ</t>
  </si>
  <si>
    <t>იჯარის/ლიზინგის დასაბეგრი თანხა</t>
  </si>
  <si>
    <t>საფუძველი</t>
  </si>
  <si>
    <t>სსკ.160,1,ბ., 163.6.გ</t>
  </si>
  <si>
    <t>211,86*18%=38,14</t>
  </si>
  <si>
    <t>გადაცემა ჩუქებით      50*5=250</t>
  </si>
  <si>
    <t xml:space="preserve">30*140=4200                                   4200/2900*380=550.34  </t>
  </si>
  <si>
    <t>სსკ.157.ი.</t>
  </si>
  <si>
    <t>სსკ.170.1.ა</t>
  </si>
  <si>
    <t>სსკ.197</t>
  </si>
  <si>
    <t>აღსადგენი თანხა</t>
  </si>
  <si>
    <t>სსკ.177</t>
  </si>
  <si>
    <t>სსკ.177.1 დეკლარაციის უჯრა 14</t>
  </si>
  <si>
    <t>დამატებული ღირებულების დეკლარაცია</t>
  </si>
  <si>
    <t>თებერვალი 2021 წ.</t>
  </si>
  <si>
    <t>დასაბეგრი ოპერაციები</t>
  </si>
  <si>
    <t>დღგ-ის გადასახდელი თანხა</t>
  </si>
  <si>
    <t>დღგ-ის შესამცირებელი თანხა</t>
  </si>
  <si>
    <t>დღგ, დარიცხული საგადასახადო პერიოდში განხორციელებულ ბრუნვაზე (მათ შორის ,დღგ დარიცხული უძრავი ქონების შექმნა/მართვა/რეალიზაციასთან დაკავშირებულ დასაბეგრ ბრუნვაზე )</t>
  </si>
  <si>
    <t>18%-იანი განაკვეთით დასაბეგრი ბრუნვა</t>
  </si>
  <si>
    <t>დღგ-ის ჩათვლის უფლებით გათავისუფლებული ბრუნვა</t>
  </si>
  <si>
    <t>საქართველოს ტერიტორიის გარეთ მომსახურების გაწევასთან/საქონლის მიწოდებასთან დაკავშირებული ბრუნვა</t>
  </si>
  <si>
    <t>საანგარიშო პერიოდში განხორციელებულ საქონლის მიწოდებაზე / მომსახურების გაწევაზე წინასწარ გადახდილი საკომპენსაციო თანხა/თანხის ნაწილი, რომელიც წინა საანგარიშო პერიოდების მიხედვით ექვემდებარებოდა დაბეგვრას</t>
  </si>
  <si>
    <t>დღგ-ისაგან ჩათვლის უფლების გარეშე გათავისუფლებული ბრუნვა</t>
  </si>
  <si>
    <t>დღგ ბრუნვის კორექტირებაზე</t>
  </si>
  <si>
    <t>უკუდაბეგვრის წესით დარიცხული დღგ</t>
  </si>
  <si>
    <t>დღგ უკუდაბეგვრით დასაბეგრი ოპერაციის კორექტირებაზე</t>
  </si>
  <si>
    <t>დღგ-ის ჩასათვლელი (შესამცირებელი) თანხა</t>
  </si>
  <si>
    <t>დღგ ჩასათვლელი თანხის კორექტირებით</t>
  </si>
  <si>
    <t>დღგ-ის თანხა, რომელზეც ითვლება, რომ პირმა მიიღო ჩათვლა</t>
  </si>
  <si>
    <t>ჯამი</t>
  </si>
  <si>
    <t>სულ გამოანგარიშებულია ბიუჯეტში გადასახდელად (სტ.15-სტ.16, როცა სტ.15&gt;სტ.16)</t>
  </si>
  <si>
    <t>სულ გამოანგარიშებულია შესამცირებლად (სტ.16-სტ.15, როცა სტ.16&gt;სტ.15)</t>
  </si>
  <si>
    <t>20000/1.18=16949.15</t>
  </si>
  <si>
    <t>იჯარის ავანსი</t>
  </si>
  <si>
    <t xml:space="preserve">  </t>
  </si>
  <si>
    <t>სსკ. 163.2</t>
  </si>
  <si>
    <t>გადაცემა უსასყიდლოდ/ჩუქებით  500/50=10 20*10=200</t>
  </si>
  <si>
    <t>1.4  საქონლის (პასკის) უსასყიდლო გადაცემა</t>
  </si>
  <si>
    <t>სსკ.157. ი, 160.3.ა.,3. გ.</t>
  </si>
  <si>
    <t>15000/1.18=12711.86</t>
  </si>
  <si>
    <t>12711.86*18%=2288.14</t>
  </si>
  <si>
    <t>არ არის დაბეგვრის ობიექტი</t>
  </si>
  <si>
    <t>0*18%=0</t>
  </si>
  <si>
    <t>სსკ.160.3.ა</t>
  </si>
  <si>
    <t>დანაკლისი 25000/1.18=21186.44</t>
  </si>
  <si>
    <t>21186.44*18%=3813.56</t>
  </si>
  <si>
    <t>ზედმეტობა 17000</t>
  </si>
  <si>
    <t>სსკ.160.3.თ</t>
  </si>
  <si>
    <t>ს/ს "ამწე" 30000/1.18=25423.73</t>
  </si>
  <si>
    <t>25423.73*18%=4576.27</t>
  </si>
  <si>
    <t>ს/ს "ასფარმა"-ს მუდმივი დაწესებულება 10000/1.18=8474.58</t>
  </si>
  <si>
    <t>8474.58*18%=1525.42</t>
  </si>
  <si>
    <t>"Gruzlek LTD" 20000</t>
  </si>
  <si>
    <t>20000*0%=0</t>
  </si>
  <si>
    <t>1.10 ავანსის  დაბეგვრა</t>
  </si>
  <si>
    <t>სსკ.164.1</t>
  </si>
  <si>
    <t>დეკლარაციის მე-3 უჯრის შევსებისათვის</t>
  </si>
  <si>
    <t>10000*1.30=13000     13000*0%=0</t>
  </si>
  <si>
    <t>3.2 მიწოდება საელჩოს და ამ მისიის წევრების პორადი სარგებლობისათვის</t>
  </si>
  <si>
    <t>სსკ. 172.3</t>
  </si>
  <si>
    <t>3.3 ღვინის მიწოდება ჩინეთში</t>
  </si>
  <si>
    <t>10000*5*3=150000</t>
  </si>
  <si>
    <t>25000*0=0</t>
  </si>
  <si>
    <t>3.4 სარემონტო სამუშაოების შესრულება საერთაშორისო ხელშეკრულების ფარგლებში</t>
  </si>
  <si>
    <t>5000*0=0</t>
  </si>
  <si>
    <t>დეკლარაციის მე-4 უჯრის შევსებისათვის</t>
  </si>
  <si>
    <t>1000000/100*3.600</t>
  </si>
  <si>
    <t>4.2 სამშენებლო სამუშაოები უძრავ ქონებაზე საქართველოში უცხოელის დაკვეთით</t>
  </si>
  <si>
    <t xml:space="preserve">3.1 შაქრის მიწოდება თიზ-ში   </t>
  </si>
  <si>
    <r>
      <t>სსკ.162.</t>
    </r>
    <r>
      <rPr>
        <sz val="8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>4</t>
    </r>
  </si>
  <si>
    <t>სსკ.163.1, 172.4 გ,</t>
  </si>
  <si>
    <t>სსკ.163.1, 172.4 დ,</t>
  </si>
  <si>
    <r>
      <t>სსკ.162.</t>
    </r>
    <r>
      <rPr>
        <sz val="8"/>
        <rFont val="Calibri"/>
        <family val="2"/>
        <scheme val="minor"/>
      </rPr>
      <t>1,</t>
    </r>
    <r>
      <rPr>
        <sz val="11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, აისახება დეკლარაციის 1 და მე-2 უჯრაში</t>
    </r>
  </si>
  <si>
    <t>1.11 სარემონტო სამუშაოები საქართველოში აზერბაიჯანის ფირმის დაკვეთით</t>
  </si>
  <si>
    <t xml:space="preserve">1.2. საწყობის ფართის იჯარის ავანსი    </t>
  </si>
  <si>
    <t>1.9 ინვენტარიზაციის შედეგები</t>
  </si>
  <si>
    <t>დეკლარაციის მე-5 უჯრის შევსებისათვის</t>
  </si>
  <si>
    <t>20000+30000=50000</t>
  </si>
  <si>
    <t>დეკლარაციის მე-6 და მე-7 უჯრის შევსებისათვის</t>
  </si>
  <si>
    <t>500*3=1500 500*4=2000  2000-1500=500/1.18=  423.73</t>
  </si>
  <si>
    <t>423.73*18%=76.27</t>
  </si>
  <si>
    <t>3000/1.18=2542.37</t>
  </si>
  <si>
    <t>2542.37*18%=457.63</t>
  </si>
  <si>
    <t>სსკ. 179            ივსება დეკლარაციის მე-6 უჯრაში</t>
  </si>
  <si>
    <t>სსკ. 179            ივსება დეკლარაციის მე-7 უჯრაში</t>
  </si>
  <si>
    <t>3389.83*18%=610.17</t>
  </si>
  <si>
    <t>კონსერვირებული კიტრი 4000/1.18=3389.83          შუშა კიტრი 1000*0=0</t>
  </si>
  <si>
    <t>დეკლარაციის მე-8 უჯრის შევსებისათვის</t>
  </si>
  <si>
    <t>8.1 არარეზიდენტისტვის მომსახურების ავანსის გადარიცხვა</t>
  </si>
  <si>
    <t xml:space="preserve">8.2 არარეზიდენტისგან სატრანსპორტო საშუალების იჯარით აღება  </t>
  </si>
  <si>
    <t>სსკ. 161.1 "ა"</t>
  </si>
  <si>
    <t>არარეზიდენტისთვის სარეკლამო მომსახურების გაწევა კაზახეთში 5000€*4=20000</t>
  </si>
  <si>
    <t>5. 2   მსოფლიო მემკვიდრეობის ნუსხაში შეტანილი, კულტურული მემკვიდრეობის ძეგლების საპროექტო და სარესტავრაციო სამუშაოების შესრულება</t>
  </si>
  <si>
    <t>75000/1.18=63559.32*18%= 11440.68</t>
  </si>
  <si>
    <t>8.3 ბარტერული ოპერაცია არარეზიდენტთან "ა"</t>
  </si>
  <si>
    <t>8.3 ბარტერული ოპერაცია არარეზიდენტთან "ბ"</t>
  </si>
  <si>
    <t>8.4 მიკროავტობუსის განბაჟება</t>
  </si>
  <si>
    <t>8.4 თვითმცლელის განბაჟება</t>
  </si>
  <si>
    <t>20000*18%=3600</t>
  </si>
  <si>
    <t>ჩასათვლელი დღგ</t>
  </si>
  <si>
    <t>აისახება დეკლარაციის მე-11 უჯრაში</t>
  </si>
  <si>
    <t>დაბეგრილი დღგ-ის ჩათვლა</t>
  </si>
  <si>
    <r>
      <t xml:space="preserve">სსკ. 162 </t>
    </r>
    <r>
      <rPr>
        <sz val="8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>1, 162.3. ა</t>
    </r>
  </si>
  <si>
    <t>5.4 მიწის მიწოდება</t>
  </si>
  <si>
    <t>დეკლარაციის მე-11 უჯრის შევსებისათვის</t>
  </si>
  <si>
    <t>11.1 საქონლის  (კარტოფილის) იმპორტი</t>
  </si>
  <si>
    <t>საბაჟო ღირებულება სულ</t>
  </si>
  <si>
    <t>ღორის   20000*6,72=134400</t>
  </si>
  <si>
    <t>ღორის</t>
  </si>
  <si>
    <t>მსხვილფეხა პირუტყვის</t>
  </si>
  <si>
    <t>134400*5%=6720     40320*12%=4838,4</t>
  </si>
  <si>
    <t>(174720+11558,40)*18%=33530,11</t>
  </si>
  <si>
    <t>დღგ-ით დასაბეგრი თანხა</t>
  </si>
  <si>
    <t>11.2 საქონლის (ხორცის) იმპორტი</t>
  </si>
  <si>
    <t>გადახდილი აქციზი</t>
  </si>
  <si>
    <t>ბ) დასარიცხი აქციზის და დღგ-ის თანხა</t>
  </si>
  <si>
    <t>11.3. ა) ჩასათვლელი აქციზის და დღგ-ის თანხა</t>
  </si>
  <si>
    <t>ჩასათვლელი დღგ       135000/1,18=114406.80*18%= 20593.22</t>
  </si>
  <si>
    <t>4000 ბოთლი*0,5=3750 ლიტრი*40%*15=12000</t>
  </si>
  <si>
    <t>(20000+12000)=32000           32000*18%=5760</t>
  </si>
  <si>
    <t>სსკ. 175</t>
  </si>
  <si>
    <t>სსკ.185.1.ბ.</t>
  </si>
  <si>
    <t>სსკ.159.1. ა</t>
  </si>
  <si>
    <t>1.12  ლუდის მიწოდება</t>
  </si>
  <si>
    <t>აქციზის  თანხა</t>
  </si>
  <si>
    <t>დასაბეგრი აქციზი 5000*1.5*4.9*0.12=4410</t>
  </si>
  <si>
    <t>24410*18%=4393.80</t>
  </si>
  <si>
    <t>11.4 შეძენილ საწვავზწე დღგ-ის ჩათვლა</t>
  </si>
  <si>
    <t>(10000-1000)=9000*3.5/1.18=26694.92</t>
  </si>
  <si>
    <t>26694.92*18%=4805.08</t>
  </si>
  <si>
    <t>სსკ. 178.ა</t>
  </si>
  <si>
    <t xml:space="preserve"> 11.5 გადახდილი ავანსის თანხის დღგ-ის ჩათვლა</t>
  </si>
  <si>
    <t>50000/1.18=42372.88</t>
  </si>
  <si>
    <t>დასაბეგრი      თანხა</t>
  </si>
  <si>
    <t>42372.88*18%=7627.12</t>
  </si>
  <si>
    <t>სსკ.175.1.ა</t>
  </si>
  <si>
    <t>1.13 საცალო მიწოდება</t>
  </si>
  <si>
    <t>84745.76*18%=15254.24</t>
  </si>
  <si>
    <t>50000*0%=0</t>
  </si>
  <si>
    <t>დასაბეგრი თანხა (ჩათვლის უფლებით)</t>
  </si>
  <si>
    <t>დასაბეგრი თანხა (ჩათვლის უფლების გარეშე)</t>
  </si>
  <si>
    <t>-</t>
  </si>
  <si>
    <t>დასაბეგრი დღგ (5000*4)+4410=24410</t>
  </si>
  <si>
    <t>წიგნების რეალიზაცია                               50000</t>
  </si>
  <si>
    <t>გაზეთების, ნოტების რეალიზაცია   17000</t>
  </si>
  <si>
    <t xml:space="preserve">სსკ. 172.4. წ.    აისახება დეკლარაციის მე-3 უჯრაში </t>
  </si>
  <si>
    <t>სსკ. 171.1.ე             აისახება დეკლარაციის მე-5 უჯრაში</t>
  </si>
  <si>
    <t>სსკ.160,1, 163.1</t>
  </si>
  <si>
    <t>18%-იანი დასაბეგრი თანხა (167000-50000-17000)=100000/1.18=84745.76</t>
  </si>
  <si>
    <t>ბანკის ანგარიშზე ჩარიცხული პროცენტის თანხა</t>
  </si>
  <si>
    <t>5.3 პროცენტების ჩარიცხვა ბანკში</t>
  </si>
  <si>
    <t xml:space="preserve">სსკ.164.1        </t>
  </si>
  <si>
    <t>სსკ.159.1. ა   აისახება დეკლარაციის მე-2 უჯრაში</t>
  </si>
  <si>
    <t>აისახება დეკლარაციის  1-ლ უჯრაში</t>
  </si>
  <si>
    <t>2000000 არ ითვლება დასაბეგრ ოპერაციად</t>
  </si>
  <si>
    <t>სსკ.162.7</t>
  </si>
  <si>
    <t xml:space="preserve">1.14 ქონების საწესდებო კაპიტალში შეტანა   </t>
  </si>
  <si>
    <t>სსკ.160.7,</t>
  </si>
  <si>
    <t>გათავისუფლებულია ჩათვლის უფლების გარეშე</t>
  </si>
  <si>
    <t xml:space="preserve"> 11.6 ყველა აქტივის მიღება/მიწოდება</t>
  </si>
  <si>
    <t>პროპორციული ჩათვლა</t>
  </si>
  <si>
    <t>ჩათვლის პროცენტი</t>
  </si>
  <si>
    <t>50000/1.18=42372,88     42372,88*18%*80%=6101,69</t>
  </si>
  <si>
    <t xml:space="preserve">11.7 განსაზღვრეთ პროპორციული წესით ჩასათვლელი დღგ-ის თანხა.
</t>
  </si>
  <si>
    <t>დეკლარაციის მე-12 და მე-13 უჯრის შევსებისათვის</t>
  </si>
  <si>
    <t>0*0%=0</t>
  </si>
  <si>
    <t>12.1 შეძენის ოპერაციის კორექტირება (ჩათვლის შემცირება უჯრა 12)</t>
  </si>
  <si>
    <t>13.1 შეძენის ოპერაციის კორექტირება (ჩათვლის გაზრდა უჯრა 13)</t>
  </si>
  <si>
    <t>6.1 მიწოდების ოპერაციის კორექტირება (თანხის გაზრდა უჯრა 6)</t>
  </si>
  <si>
    <t>100%-20%=80%</t>
  </si>
  <si>
    <t>საქონლის (იმპორტირებული ყველი) უკან დაბრუნება 3000/1.18=2542.37</t>
  </si>
  <si>
    <t>დაკლარაციაში არ აისახება</t>
  </si>
  <si>
    <t>სსკ. 179            ივსება დეკლარაციის მე-12 უჯრაში</t>
  </si>
  <si>
    <t>სსკ. 179            ივსება დეკლარაციის მე-13 უჯრაში</t>
  </si>
  <si>
    <t>საქონლის (კვერცხის)ფასის გაზრდა 2000/1.18=2542.37</t>
  </si>
  <si>
    <t>1694.92*18%=305.08</t>
  </si>
  <si>
    <t>საქონლის (ბადრიჯანის) ფასის შემცირება 1000*0%=0</t>
  </si>
  <si>
    <t>დეკლარაციის მე-14  უჯრის შევსებისათვის</t>
  </si>
  <si>
    <t xml:space="preserve">  6000/2000=3.00       500*3.00=1500 1500/1.18=1271.19</t>
  </si>
  <si>
    <t xml:space="preserve">1271.19*18%=228.81           </t>
  </si>
  <si>
    <t xml:space="preserve">ყურადღება: შეფასებას ექვემდებარება "სწორი პასუხი"-ს სვეტში მითითებული თანხა </t>
  </si>
  <si>
    <t>დეკლარაციის 1 -ლი და მე-2 უჯრის შევსებისათვის</t>
  </si>
  <si>
    <t>ოჯახის წევრების პირადი სარგებლობისათვის 30*50=1500</t>
  </si>
  <si>
    <t>საელჩოს ოფიციალური სარგებლობისათვის 50*10=500, 12*150=1800</t>
  </si>
  <si>
    <t>3.5 მუნიციპალიტეტის ტერიტორიის უსასყიდლო ასფალტირება</t>
  </si>
  <si>
    <t>4.1 საპროექტო სამუშაოები უძრავ ქონებაზე ყირგიზეთში</t>
  </si>
  <si>
    <t>თანამშრომლებს 30*10=0  არ იბეგრება დღგ არ არის ჩათვლილი</t>
  </si>
  <si>
    <t>სსკ.157.მ, 159.2</t>
  </si>
  <si>
    <t>დასაბეგრი  თანხა</t>
  </si>
  <si>
    <t>დღგ-ის აღსადგენი თანხა</t>
  </si>
  <si>
    <t xml:space="preserve">გადაცემა დაქირავებულ პირებს 500/100=5    50*5=250 2 50/1.18=211.86                 </t>
  </si>
  <si>
    <t>სსკ.164.1 აისახება დეკლარაციის მე-3 უჯრაში</t>
  </si>
  <si>
    <t>20000+10000=30000 არ ითვლება დასაბეგრ ოპერაციად</t>
  </si>
  <si>
    <t xml:space="preserve">5. 1   განათლების და განათლების დამხმარე ხასიათის მომსახურება  </t>
  </si>
  <si>
    <t>7.1 საქონლის უკან დაბრუნების   ოპერაციის კორექტირება (უჯრა 7)</t>
  </si>
  <si>
    <t>7.2. საქონლის უკან დაბრუნების   ოპერაციის კორექტირება (უჯრა 7)</t>
  </si>
  <si>
    <t>არარეზიდენტისგან იურიდიული მომსახურების მიღება</t>
  </si>
  <si>
    <t>მსხვილფეხა პირუტყვის 5000*6,72*1,2=40320</t>
  </si>
  <si>
    <t>გადახდილი აქციზი    5000 ლიტრი*87%*7,5=32625</t>
  </si>
  <si>
    <t>(500000-100000-40000)+200000+140000=700000           140000/700000*100%=20%  100%-20%=80%</t>
  </si>
  <si>
    <t>საქონლის (ადგილობრივი წარმოების ყველი) უკან დაბრუნება 1000*0%=0</t>
  </si>
  <si>
    <t xml:space="preserve">1.1 ბულდოზერის იჯარა   </t>
  </si>
  <si>
    <t>ექვემდებარება დაბეგვრას აპრილში 18000-3050.85=14949.15 ან 83050.85*18%=14949.15</t>
  </si>
  <si>
    <t>აპრილში დასაბეგრი თანხა 100000*18%=18000</t>
  </si>
  <si>
    <t>ექვემდებარება დაბეგვრას აპრილში ავანსის გათვალისწინებით (100000+18000)-20000=98000/1.18=83050.85</t>
  </si>
  <si>
    <t>თებერვალში დაბეგრილი ავანსი     20000/1.18=16949.15*18%= 3050.85</t>
  </si>
  <si>
    <t>10000*1.7=17000/1.18*18%= 2593</t>
  </si>
  <si>
    <t>16000*18%=2880</t>
  </si>
  <si>
    <t>20000-5000€*3.35=1750</t>
  </si>
  <si>
    <t>3250*18%=585</t>
  </si>
  <si>
    <t>(45000-12000€*3.35)=44960</t>
  </si>
  <si>
    <t>44960*18%=8093</t>
  </si>
  <si>
    <t xml:space="preserve">1050/1.18=889.83                           889.83*18%=160.17    </t>
  </si>
  <si>
    <t xml:space="preserve">550.34/1.18=466.39                              466.39*0%=0    </t>
  </si>
  <si>
    <t>0/3</t>
  </si>
  <si>
    <t>0/4</t>
  </si>
  <si>
    <t>75*100=7500*2.8=21000      21000/1500*75=1050/1.18=889.3</t>
  </si>
  <si>
    <r>
      <t xml:space="preserve">ამოცანა #3/1 </t>
    </r>
    <r>
      <rPr>
        <sz val="12"/>
        <rFont val="Calibri"/>
        <family val="2"/>
        <scheme val="minor"/>
      </rPr>
      <t>დამატებული ღირებულების გადასახადი</t>
    </r>
  </si>
  <si>
    <r>
      <t>1.3.</t>
    </r>
    <r>
      <rPr>
        <b/>
        <sz val="7"/>
        <rFont val="Times New Roman"/>
        <family val="1"/>
      </rPr>
      <t>    </t>
    </r>
    <r>
      <rPr>
        <b/>
        <sz val="10"/>
        <rFont val="Times New Roman"/>
        <family val="1"/>
      </rPr>
      <t>  საჩუქრის გადაცემა</t>
    </r>
    <r>
      <rPr>
        <b/>
        <sz val="10"/>
        <rFont val="Sylfaen"/>
        <family val="1"/>
      </rPr>
      <t xml:space="preserve">      </t>
    </r>
  </si>
  <si>
    <r>
      <t>1.5</t>
    </r>
    <r>
      <rPr>
        <b/>
        <sz val="7"/>
        <rFont val="Times New Roman"/>
        <family val="1"/>
      </rPr>
      <t>      </t>
    </r>
    <r>
      <rPr>
        <b/>
        <sz val="10"/>
        <rFont val="Sylfaen"/>
        <family val="1"/>
      </rPr>
      <t xml:space="preserve">   მგზავრების გადაყვანა თბილისი-ათენი</t>
    </r>
  </si>
  <si>
    <r>
      <t>სსკ.162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.</t>
    </r>
  </si>
  <si>
    <r>
      <t xml:space="preserve">  </t>
    </r>
    <r>
      <rPr>
        <sz val="9"/>
        <rFont val="Calibri"/>
        <family val="2"/>
        <scheme val="minor"/>
      </rPr>
      <t>დღგ</t>
    </r>
  </si>
  <si>
    <r>
      <t>სსკ.162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.9,</t>
    </r>
  </si>
  <si>
    <r>
      <t>1.6</t>
    </r>
    <r>
      <rPr>
        <b/>
        <sz val="7"/>
        <rFont val="Times New Roman"/>
        <family val="1"/>
      </rPr>
      <t>      </t>
    </r>
    <r>
      <rPr>
        <b/>
        <sz val="10"/>
        <rFont val="Sylfaen"/>
        <family val="1"/>
      </rPr>
      <t xml:space="preserve">   მგზავრების გადაყვანა თბილისი-თეირანი</t>
    </r>
  </si>
  <si>
    <r>
      <t>სსკ.162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.9</t>
    </r>
  </si>
  <si>
    <r>
      <t>1.7.</t>
    </r>
    <r>
      <rPr>
        <b/>
        <sz val="7"/>
        <rFont val="Calibri"/>
        <family val="2"/>
        <scheme val="minor"/>
      </rPr>
      <t xml:space="preserve">  </t>
    </r>
    <r>
      <rPr>
        <b/>
        <sz val="11"/>
        <rFont val="Calibri"/>
        <family val="2"/>
        <scheme val="minor"/>
      </rPr>
      <t>საქველმოქმედო მიზნით საქონლის უსასყიდლო მიწოდება</t>
    </r>
  </si>
  <si>
    <r>
      <t>1.8.</t>
    </r>
    <r>
      <rPr>
        <b/>
        <sz val="7"/>
        <rFont val="Calibri"/>
        <family val="2"/>
        <scheme val="minor"/>
      </rPr>
      <t xml:space="preserve">  </t>
    </r>
    <r>
      <rPr>
        <b/>
        <sz val="11"/>
        <rFont val="Calibri"/>
        <family val="2"/>
        <scheme val="minor"/>
      </rPr>
      <t>საქონლის ნიმუშის სახით გადაცემა</t>
    </r>
  </si>
  <si>
    <r>
      <t>სსკ.164.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.7, კანონი "ინდუსტრიული ზონის შესახებ" 10.1</t>
    </r>
  </si>
  <si>
    <r>
      <t>სსკ.163.1, 164.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.7,</t>
    </r>
  </si>
  <si>
    <r>
      <t>დეკლარაციის "ა" დანართის  I-ლი ნაწილის  (1 ფანჯარა)  14</t>
    </r>
    <r>
      <rPr>
        <sz val="8"/>
        <rFont val="Calibri"/>
        <family val="2"/>
        <scheme val="minor"/>
      </rPr>
      <t xml:space="preserve"> 1</t>
    </r>
    <r>
      <rPr>
        <sz val="10"/>
        <rFont val="Calibri"/>
        <family val="2"/>
        <charset val="204"/>
        <scheme val="minor"/>
      </rPr>
      <t xml:space="preserve"> უჯრის </t>
    </r>
    <r>
      <rPr>
        <sz val="10"/>
        <rFont val="Calibri"/>
        <family val="2"/>
        <scheme val="minor"/>
      </rPr>
      <t>შევსების წესი</t>
    </r>
  </si>
  <si>
    <r>
      <rPr>
        <sz val="11"/>
        <rFont val="Calibri"/>
        <family val="2"/>
        <scheme val="minor"/>
      </rPr>
      <t>დასაბეგრი</t>
    </r>
    <r>
      <rPr>
        <b/>
        <sz val="11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>თანხა</t>
    </r>
  </si>
  <si>
    <r>
      <t>დეკლარაციის "ა" დანართის  I-ლი ნაწილის  (1 ფანჯარა)  14</t>
    </r>
    <r>
      <rPr>
        <sz val="8"/>
        <rFont val="Calibri"/>
        <family val="2"/>
        <scheme val="minor"/>
      </rPr>
      <t xml:space="preserve"> 2</t>
    </r>
    <r>
      <rPr>
        <sz val="10"/>
        <rFont val="Calibri"/>
        <family val="2"/>
        <charset val="204"/>
        <scheme val="minor"/>
      </rPr>
      <t xml:space="preserve"> უჯრის </t>
    </r>
    <r>
      <rPr>
        <sz val="10"/>
        <rFont val="Calibri"/>
        <family val="2"/>
        <scheme val="minor"/>
      </rPr>
      <t>შევსების წესი</t>
    </r>
  </si>
  <si>
    <r>
      <t xml:space="preserve">  </t>
    </r>
    <r>
      <rPr>
        <sz val="9"/>
        <rFont val="Calibri"/>
        <family val="2"/>
        <scheme val="minor"/>
      </rPr>
      <t>თანხა</t>
    </r>
  </si>
  <si>
    <r>
      <t>5000</t>
    </r>
    <r>
      <rPr>
        <b/>
        <sz val="11"/>
        <rFont val="Calibri"/>
        <family val="2"/>
      </rPr>
      <t>€*3.2</t>
    </r>
    <r>
      <rPr>
        <b/>
        <sz val="11"/>
        <rFont val="Calibri"/>
        <family val="2"/>
        <scheme val="minor"/>
      </rPr>
      <t>=16000</t>
    </r>
  </si>
  <si>
    <r>
      <t>სსკ. 161.1 "ა", სსკ. 162.</t>
    </r>
    <r>
      <rPr>
        <sz val="8"/>
        <rFont val="Calibri"/>
        <family val="2"/>
        <scheme val="minor"/>
      </rPr>
      <t xml:space="preserve">1. </t>
    </r>
    <r>
      <rPr>
        <sz val="11"/>
        <rFont val="Calibri"/>
        <family val="2"/>
        <scheme val="minor"/>
      </rPr>
      <t>"ა"</t>
    </r>
  </si>
  <si>
    <r>
      <t>სსკ.162.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,3 "ა" , აისახება დეკლარაციის მე-3 უჯრაში</t>
    </r>
  </si>
  <si>
    <r>
      <t>სსკ.162.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,3 "ა" , სსკ. 161 აისახება დეკლარაციის   მე-8  უჯრაში</t>
    </r>
  </si>
  <si>
    <r>
      <t>სსკ.164.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,4, აისახება დეკლარაციის მე-8 უჯრაში</t>
    </r>
  </si>
  <si>
    <r>
      <t>სსკ.164.</t>
    </r>
    <r>
      <rPr>
        <sz val="8"/>
        <rFont val="Calibri"/>
        <family val="2"/>
        <scheme val="minor"/>
      </rPr>
      <t>1</t>
    </r>
    <r>
      <rPr>
        <sz val="11"/>
        <rFont val="Calibri"/>
        <family val="2"/>
        <charset val="204"/>
        <scheme val="minor"/>
      </rPr>
      <t>,5, აისახება დეკლარაციის მე-8 უჯრაში</t>
    </r>
  </si>
  <si>
    <r>
      <t>სსკ.164</t>
    </r>
    <r>
      <rPr>
        <sz val="8"/>
        <rFont val="Calibri"/>
        <family val="2"/>
        <scheme val="minor"/>
      </rPr>
      <t>1.</t>
    </r>
  </si>
  <si>
    <r>
      <t>სსკ.164</t>
    </r>
    <r>
      <rPr>
        <sz val="8"/>
        <rFont val="Calibri"/>
        <family val="2"/>
        <scheme val="minor"/>
      </rPr>
      <t>2</t>
    </r>
    <r>
      <rPr>
        <sz val="11"/>
        <rFont val="Calibri"/>
        <family val="2"/>
        <charset val="204"/>
        <scheme val="minor"/>
      </rPr>
      <t>.</t>
    </r>
  </si>
  <si>
    <r>
      <t>სულ(50000+5000+1000)=56000</t>
    </r>
    <r>
      <rPr>
        <sz val="11"/>
        <rFont val="Calibri"/>
        <family val="2"/>
      </rPr>
      <t>$*3=168000/25000=6,72</t>
    </r>
  </si>
  <si>
    <r>
      <t>სსკ. 184.1.ა, 188.</t>
    </r>
    <r>
      <rPr>
        <sz val="8"/>
        <rFont val="Calibri"/>
        <family val="2"/>
        <scheme val="minor"/>
      </rPr>
      <t>1</t>
    </r>
  </si>
  <si>
    <r>
      <t xml:space="preserve">  ჩასათვლელი აქციზი                                                        </t>
    </r>
    <r>
      <rPr>
        <sz val="10"/>
        <rFont val="Calibri"/>
        <family val="2"/>
        <scheme val="minor"/>
      </rPr>
      <t xml:space="preserve"> 6000 ბოთლი*0,5*87%*7,5 =19575</t>
    </r>
  </si>
  <si>
    <r>
      <t>სსკ. 189.1, 188.</t>
    </r>
    <r>
      <rPr>
        <sz val="8"/>
        <rFont val="Calibri"/>
        <family val="2"/>
        <scheme val="minor"/>
      </rPr>
      <t>1</t>
    </r>
  </si>
  <si>
    <r>
      <t>14.</t>
    </r>
    <r>
      <rPr>
        <sz val="7"/>
        <rFont val="Times New Roman"/>
        <family val="1"/>
      </rPr>
      <t xml:space="preserve">       </t>
    </r>
    <r>
      <rPr>
        <b/>
        <sz val="11"/>
        <rFont val="Calibri"/>
        <family val="2"/>
        <scheme val="minor"/>
      </rPr>
      <t>განსაზღვრეთ ამ ოპერაციის მიხედვით აღსადგენი დღგ-ის თანხა.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</si>
</sst>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222222"/>
      <name val="BPG Arial"/>
    </font>
    <font>
      <sz val="9"/>
      <color rgb="FF222222"/>
      <name val="Calibri"/>
      <family val="2"/>
      <scheme val="minor"/>
    </font>
    <font>
      <sz val="10"/>
      <color rgb="FF222222"/>
      <name val="BPG Arial"/>
    </font>
    <font>
      <b/>
      <sz val="10"/>
      <color rgb="FF222222"/>
      <name val="BPG Arial"/>
    </font>
    <font>
      <sz val="7"/>
      <color rgb="FF222222"/>
      <name val="BPG Arial"/>
    </font>
    <font>
      <sz val="11"/>
      <color theme="1"/>
      <name val="BPG Arial"/>
    </font>
    <font>
      <b/>
      <sz val="11"/>
      <color theme="1"/>
      <name val="BPG Arial"/>
    </font>
    <font>
      <sz val="9"/>
      <color theme="1"/>
      <name val="BPG Arial"/>
    </font>
    <font>
      <sz val="10"/>
      <color theme="1"/>
      <name val="BPG Arial"/>
    </font>
    <font>
      <b/>
      <sz val="10"/>
      <color theme="1"/>
      <name val="BPG 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7"/>
      <name val="Times New Roman"/>
      <family val="1"/>
    </font>
    <font>
      <b/>
      <sz val="10"/>
      <name val="Times New Roman"/>
      <family val="1"/>
    </font>
    <font>
      <b/>
      <sz val="10"/>
      <name val="Sylfaen"/>
      <family val="1"/>
    </font>
    <font>
      <b/>
      <sz val="11"/>
      <name val="Calibri"/>
      <family val="2"/>
      <charset val="204"/>
      <scheme val="minor"/>
    </font>
    <font>
      <vertAlign val="superscript"/>
      <sz val="17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</font>
    <font>
      <sz val="11"/>
      <name val="Calibri"/>
      <family val="2"/>
    </font>
    <font>
      <sz val="7"/>
      <name val="Times New Roman"/>
      <family val="1"/>
    </font>
    <font>
      <sz val="10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 style="medium">
        <color rgb="FFD7D7D7"/>
      </bottom>
      <diagonal/>
    </border>
    <border>
      <left style="medium">
        <color rgb="FFD7D7D7"/>
      </left>
      <right/>
      <top/>
      <bottom style="medium">
        <color rgb="FFD7D7D7"/>
      </bottom>
      <diagonal/>
    </border>
    <border>
      <left/>
      <right/>
      <top style="medium">
        <color rgb="FFD7D7D7"/>
      </top>
      <bottom style="medium">
        <color rgb="FFD7D7D7"/>
      </bottom>
      <diagonal/>
    </border>
    <border>
      <left/>
      <right style="medium">
        <color rgb="FFD7D7D7"/>
      </right>
      <top style="medium">
        <color rgb="FFD7D7D7"/>
      </top>
      <bottom style="medium">
        <color rgb="FFD7D7D7"/>
      </bottom>
      <diagonal/>
    </border>
    <border>
      <left style="medium">
        <color rgb="FFD7D7D7"/>
      </left>
      <right style="medium">
        <color rgb="FFD7D7D7"/>
      </right>
      <top style="medium">
        <color rgb="FFD7D7D7"/>
      </top>
      <bottom style="medium">
        <color rgb="FFD7D7D7"/>
      </bottom>
      <diagonal/>
    </border>
    <border>
      <left style="medium">
        <color rgb="FFD7D7D7"/>
      </left>
      <right/>
      <top style="medium">
        <color rgb="FFD7D7D7"/>
      </top>
      <bottom style="medium">
        <color rgb="FFD7D7D7"/>
      </bottom>
      <diagonal/>
    </border>
    <border>
      <left/>
      <right/>
      <top style="medium">
        <color rgb="FFD7D7D7"/>
      </top>
      <bottom/>
      <diagonal/>
    </border>
    <border>
      <left/>
      <right/>
      <top/>
      <bottom style="medium">
        <color rgb="FFD7D7D7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D7D7D7"/>
      </top>
      <bottom style="medium">
        <color indexed="64"/>
      </bottom>
      <diagonal/>
    </border>
    <border>
      <left/>
      <right/>
      <top style="medium">
        <color rgb="FFD7D7D7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8" fillId="4" borderId="48" xfId="0" applyFont="1" applyFill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7" fillId="4" borderId="50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left" vertical="center" wrapText="1"/>
    </xf>
    <xf numFmtId="0" fontId="8" fillId="5" borderId="48" xfId="0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7" fillId="4" borderId="48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7" fillId="5" borderId="5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 wrapText="1"/>
    </xf>
    <xf numFmtId="4" fontId="7" fillId="4" borderId="0" xfId="0" applyNumberFormat="1" applyFont="1" applyFill="1" applyBorder="1" applyAlignment="1">
      <alignment vertical="center" wrapText="1"/>
    </xf>
    <xf numFmtId="2" fontId="7" fillId="4" borderId="0" xfId="0" applyNumberFormat="1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1" fillId="0" borderId="0" xfId="0" applyFont="1" applyBorder="1"/>
    <xf numFmtId="2" fontId="0" fillId="2" borderId="0" xfId="0" applyNumberFormat="1" applyFill="1"/>
    <xf numFmtId="0" fontId="1" fillId="2" borderId="0" xfId="0" applyFont="1" applyFill="1"/>
    <xf numFmtId="0" fontId="1" fillId="2" borderId="0" xfId="0" applyFont="1" applyFill="1" applyBorder="1"/>
    <xf numFmtId="2" fontId="0" fillId="2" borderId="0" xfId="0" applyNumberFormat="1" applyFill="1" applyBorder="1"/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" fontId="0" fillId="2" borderId="0" xfId="0" applyNumberFormat="1" applyFill="1" applyBorder="1"/>
    <xf numFmtId="1" fontId="0" fillId="2" borderId="0" xfId="0" applyNumberFormat="1" applyFill="1"/>
    <xf numFmtId="0" fontId="0" fillId="2" borderId="0" xfId="0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 wrapText="1"/>
    </xf>
    <xf numFmtId="0" fontId="0" fillId="6" borderId="0" xfId="0" applyFill="1"/>
    <xf numFmtId="2" fontId="0" fillId="6" borderId="0" xfId="0" applyNumberFormat="1" applyFill="1"/>
    <xf numFmtId="0" fontId="1" fillId="6" borderId="0" xfId="0" applyFont="1" applyFill="1"/>
    <xf numFmtId="0" fontId="2" fillId="6" borderId="0" xfId="0" applyFont="1" applyFill="1" applyAlignment="1">
      <alignment vertical="top"/>
    </xf>
    <xf numFmtId="0" fontId="0" fillId="6" borderId="0" xfId="0" applyFill="1" applyBorder="1"/>
    <xf numFmtId="2" fontId="0" fillId="6" borderId="0" xfId="0" applyNumberFormat="1" applyFill="1" applyBorder="1"/>
    <xf numFmtId="0" fontId="1" fillId="6" borderId="0" xfId="0" applyFont="1" applyFill="1" applyBorder="1" applyAlignment="1">
      <alignment vertical="top"/>
    </xf>
    <xf numFmtId="1" fontId="0" fillId="6" borderId="0" xfId="0" applyNumberFormat="1" applyFill="1" applyBorder="1"/>
    <xf numFmtId="0" fontId="0" fillId="6" borderId="0" xfId="0" applyFill="1" applyBorder="1" applyAlignment="1"/>
    <xf numFmtId="0" fontId="0" fillId="7" borderId="0" xfId="0" applyFill="1"/>
    <xf numFmtId="2" fontId="0" fillId="7" borderId="0" xfId="0" applyNumberFormat="1" applyFill="1"/>
    <xf numFmtId="0" fontId="2" fillId="7" borderId="0" xfId="0" applyFont="1" applyFill="1" applyAlignment="1">
      <alignment vertical="top"/>
    </xf>
    <xf numFmtId="0" fontId="0" fillId="7" borderId="0" xfId="0" applyFill="1" applyBorder="1"/>
    <xf numFmtId="2" fontId="0" fillId="7" borderId="0" xfId="0" applyNumberFormat="1" applyFill="1" applyBorder="1"/>
    <xf numFmtId="0" fontId="1" fillId="7" borderId="0" xfId="0" applyFont="1" applyFill="1" applyBorder="1" applyAlignment="1">
      <alignment vertical="top"/>
    </xf>
    <xf numFmtId="1" fontId="0" fillId="7" borderId="0" xfId="0" applyNumberFormat="1" applyFill="1" applyBorder="1"/>
    <xf numFmtId="0" fontId="0" fillId="7" borderId="0" xfId="0" applyFill="1" applyBorder="1" applyAlignment="1"/>
    <xf numFmtId="0" fontId="0" fillId="8" borderId="0" xfId="0" applyFill="1"/>
    <xf numFmtId="2" fontId="0" fillId="8" borderId="0" xfId="0" applyNumberFormat="1" applyFill="1"/>
    <xf numFmtId="0" fontId="1" fillId="8" borderId="0" xfId="0" applyFont="1" applyFill="1"/>
    <xf numFmtId="0" fontId="2" fillId="8" borderId="0" xfId="0" applyFont="1" applyFill="1" applyAlignment="1">
      <alignment vertical="top"/>
    </xf>
    <xf numFmtId="0" fontId="0" fillId="8" borderId="0" xfId="0" applyFill="1" applyBorder="1" applyAlignment="1">
      <alignment horizontal="center" vertical="center" wrapText="1"/>
    </xf>
    <xf numFmtId="0" fontId="1" fillId="8" borderId="0" xfId="0" applyFont="1" applyFill="1" applyAlignment="1">
      <alignment vertical="top"/>
    </xf>
    <xf numFmtId="1" fontId="0" fillId="8" borderId="0" xfId="0" applyNumberFormat="1" applyFill="1"/>
    <xf numFmtId="0" fontId="0" fillId="8" borderId="0" xfId="0" applyFill="1" applyBorder="1"/>
    <xf numFmtId="1" fontId="0" fillId="8" borderId="0" xfId="0" applyNumberFormat="1" applyFill="1" applyBorder="1"/>
    <xf numFmtId="0" fontId="21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0" fillId="8" borderId="0" xfId="0" applyFill="1" applyAlignment="1">
      <alignment horizontal="center" vertical="top" wrapText="1"/>
    </xf>
    <xf numFmtId="2" fontId="0" fillId="8" borderId="0" xfId="0" applyNumberFormat="1" applyFill="1" applyBorder="1"/>
    <xf numFmtId="1" fontId="0" fillId="7" borderId="0" xfId="0" applyNumberFormat="1" applyFill="1" applyBorder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2" fontId="24" fillId="0" borderId="36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 wrapText="1"/>
    </xf>
    <xf numFmtId="4" fontId="24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vertical="center" wrapText="1"/>
    </xf>
    <xf numFmtId="1" fontId="24" fillId="0" borderId="32" xfId="0" applyNumberFormat="1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2" fontId="24" fillId="0" borderId="32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 indent="15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8" fillId="0" borderId="0" xfId="0" applyFont="1" applyFill="1" applyAlignment="1">
      <alignment horizontal="left" vertical="center" indent="3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69" xfId="0" applyFont="1" applyFill="1" applyBorder="1" applyAlignment="1">
      <alignment horizontal="center" vertical="center" wrapText="1"/>
    </xf>
    <xf numFmtId="0" fontId="31" fillId="0" borderId="69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2" fillId="0" borderId="70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2" fillId="0" borderId="110" xfId="0" applyFont="1" applyFill="1" applyBorder="1" applyAlignment="1">
      <alignment horizontal="center" vertical="center" wrapText="1"/>
    </xf>
    <xf numFmtId="0" fontId="19" fillId="0" borderId="84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vertical="center" wrapText="1"/>
    </xf>
    <xf numFmtId="2" fontId="19" fillId="0" borderId="36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vertical="center"/>
    </xf>
    <xf numFmtId="0" fontId="19" fillId="0" borderId="54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2" fontId="19" fillId="0" borderId="111" xfId="0" applyNumberFormat="1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9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32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vertical="top"/>
    </xf>
    <xf numFmtId="0" fontId="30" fillId="0" borderId="36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vertical="center" wrapText="1"/>
    </xf>
    <xf numFmtId="0" fontId="30" fillId="0" borderId="60" xfId="0" applyFont="1" applyFill="1" applyBorder="1" applyAlignment="1">
      <alignment horizontal="center" vertical="center" wrapText="1"/>
    </xf>
    <xf numFmtId="2" fontId="16" fillId="0" borderId="32" xfId="0" applyNumberFormat="1" applyFont="1" applyFill="1" applyBorder="1" applyAlignment="1">
      <alignment horizontal="center" vertical="center" wrapText="1"/>
    </xf>
    <xf numFmtId="2" fontId="16" fillId="0" borderId="41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wrapText="1"/>
    </xf>
    <xf numFmtId="0" fontId="19" fillId="0" borderId="62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0" fontId="16" fillId="0" borderId="32" xfId="0" applyFont="1" applyFill="1" applyBorder="1"/>
    <xf numFmtId="0" fontId="31" fillId="0" borderId="60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0" fontId="32" fillId="0" borderId="66" xfId="0" applyFont="1" applyFill="1" applyBorder="1" applyAlignment="1">
      <alignment horizontal="center" vertical="center" wrapText="1"/>
    </xf>
    <xf numFmtId="2" fontId="19" fillId="0" borderId="67" xfId="0" applyNumberFormat="1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vertical="center" wrapText="1"/>
    </xf>
    <xf numFmtId="0" fontId="37" fillId="0" borderId="58" xfId="0" applyFont="1" applyFill="1" applyBorder="1" applyAlignment="1">
      <alignment horizontal="center" wrapText="1"/>
    </xf>
    <xf numFmtId="2" fontId="19" fillId="0" borderId="68" xfId="0" applyNumberFormat="1" applyFont="1" applyFill="1" applyBorder="1" applyAlignment="1">
      <alignment horizontal="center" vertical="center" wrapText="1"/>
    </xf>
    <xf numFmtId="0" fontId="19" fillId="0" borderId="87" xfId="0" applyFont="1" applyFill="1" applyBorder="1" applyAlignment="1">
      <alignment vertical="center" wrapText="1"/>
    </xf>
    <xf numFmtId="0" fontId="37" fillId="0" borderId="58" xfId="0" applyFont="1" applyFill="1" applyBorder="1" applyAlignment="1">
      <alignment horizontal="center" vertical="center" wrapText="1"/>
    </xf>
    <xf numFmtId="1" fontId="19" fillId="0" borderId="6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9" fillId="0" borderId="70" xfId="0" applyFont="1" applyFill="1" applyBorder="1" applyAlignment="1">
      <alignment horizontal="center" vertical="center" wrapText="1"/>
    </xf>
    <xf numFmtId="0" fontId="39" fillId="0" borderId="71" xfId="0" applyFont="1" applyFill="1" applyBorder="1" applyAlignment="1">
      <alignment horizontal="center" vertical="center" wrapText="1"/>
    </xf>
    <xf numFmtId="1" fontId="29" fillId="0" borderId="71" xfId="0" applyNumberFormat="1" applyFont="1" applyFill="1" applyBorder="1" applyAlignment="1">
      <alignment horizontal="center" vertical="center" wrapText="1"/>
    </xf>
    <xf numFmtId="0" fontId="29" fillId="0" borderId="71" xfId="0" applyFont="1" applyFill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vertical="center"/>
    </xf>
    <xf numFmtId="0" fontId="39" fillId="0" borderId="21" xfId="0" applyFont="1" applyFill="1" applyBorder="1" applyAlignment="1">
      <alignment horizontal="center" vertical="center" wrapText="1"/>
    </xf>
    <xf numFmtId="1" fontId="29" fillId="0" borderId="21" xfId="0" applyNumberFormat="1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vertical="center" wrapText="1"/>
    </xf>
    <xf numFmtId="0" fontId="39" fillId="0" borderId="10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vertical="center" wrapText="1"/>
    </xf>
    <xf numFmtId="0" fontId="39" fillId="0" borderId="19" xfId="0" applyFont="1" applyFill="1" applyBorder="1" applyAlignment="1">
      <alignment horizontal="center" vertical="center" wrapText="1"/>
    </xf>
    <xf numFmtId="2" fontId="29" fillId="0" borderId="21" xfId="0" applyNumberFormat="1" applyFont="1" applyFill="1" applyBorder="1" applyAlignment="1">
      <alignment horizontal="center" vertical="center" wrapText="1"/>
    </xf>
    <xf numFmtId="2" fontId="29" fillId="0" borderId="71" xfId="0" applyNumberFormat="1" applyFont="1" applyFill="1" applyBorder="1" applyAlignment="1">
      <alignment horizontal="center" vertical="center" wrapText="1"/>
    </xf>
    <xf numFmtId="0" fontId="29" fillId="0" borderId="84" xfId="0" applyFont="1" applyFill="1" applyBorder="1" applyAlignment="1">
      <alignment horizontal="center" vertical="center" wrapText="1"/>
    </xf>
    <xf numFmtId="0" fontId="29" fillId="0" borderId="88" xfId="0" applyFont="1" applyFill="1" applyBorder="1" applyAlignment="1">
      <alignment horizontal="center" vertical="center" wrapText="1"/>
    </xf>
    <xf numFmtId="0" fontId="29" fillId="0" borderId="83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0" fontId="29" fillId="0" borderId="108" xfId="0" applyFont="1" applyFill="1" applyBorder="1" applyAlignment="1">
      <alignment horizontal="center" vertical="center"/>
    </xf>
    <xf numFmtId="0" fontId="29" fillId="0" borderId="92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 wrapText="1"/>
    </xf>
    <xf numFmtId="0" fontId="19" fillId="0" borderId="9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 wrapText="1"/>
    </xf>
    <xf numFmtId="0" fontId="32" fillId="0" borderId="93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vertical="center" wrapText="1"/>
    </xf>
    <xf numFmtId="0" fontId="29" fillId="0" borderId="96" xfId="0" applyFont="1" applyFill="1" applyBorder="1" applyAlignment="1">
      <alignment horizontal="center" vertical="center" wrapText="1"/>
    </xf>
    <xf numFmtId="0" fontId="32" fillId="0" borderId="97" xfId="0" applyFont="1" applyFill="1" applyBorder="1" applyAlignment="1">
      <alignment horizontal="center" vertical="center" wrapText="1"/>
    </xf>
    <xf numFmtId="0" fontId="19" fillId="0" borderId="97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29" fillId="0" borderId="9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16" fillId="0" borderId="17" xfId="0" applyFont="1" applyFill="1" applyBorder="1"/>
    <xf numFmtId="0" fontId="16" fillId="0" borderId="1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2" fontId="19" fillId="0" borderId="105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 wrapText="1"/>
    </xf>
    <xf numFmtId="0" fontId="16" fillId="0" borderId="12" xfId="0" applyFont="1" applyFill="1" applyBorder="1"/>
    <xf numFmtId="0" fontId="29" fillId="0" borderId="62" xfId="0" applyFont="1" applyFill="1" applyBorder="1" applyAlignment="1">
      <alignment horizontal="center" vertical="center" wrapText="1"/>
    </xf>
    <xf numFmtId="0" fontId="32" fillId="0" borderId="63" xfId="0" applyFont="1" applyFill="1" applyBorder="1" applyAlignment="1">
      <alignment horizontal="center" vertical="center" wrapText="1"/>
    </xf>
    <xf numFmtId="2" fontId="19" fillId="0" borderId="63" xfId="0" applyNumberFormat="1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2" fontId="32" fillId="0" borderId="63" xfId="0" applyNumberFormat="1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32" fillId="0" borderId="7" xfId="0" applyNumberFormat="1" applyFont="1" applyFill="1" applyBorder="1" applyAlignment="1">
      <alignment horizontal="center" vertical="center" wrapText="1"/>
    </xf>
    <xf numFmtId="0" fontId="32" fillId="0" borderId="99" xfId="0" applyFont="1" applyFill="1" applyBorder="1" applyAlignment="1">
      <alignment horizontal="center" vertical="center" wrapText="1"/>
    </xf>
    <xf numFmtId="2" fontId="32" fillId="0" borderId="12" xfId="0" applyNumberFormat="1" applyFont="1" applyFill="1" applyBorder="1" applyAlignment="1">
      <alignment horizontal="center" vertical="center" wrapText="1"/>
    </xf>
    <xf numFmtId="0" fontId="19" fillId="0" borderId="99" xfId="0" applyFont="1" applyFill="1" applyBorder="1" applyAlignment="1">
      <alignment vertical="center" wrapText="1"/>
    </xf>
    <xf numFmtId="2" fontId="19" fillId="0" borderId="13" xfId="0" applyNumberFormat="1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  <xf numFmtId="1" fontId="19" fillId="0" borderId="92" xfId="0" applyNumberFormat="1" applyFont="1" applyFill="1" applyBorder="1" applyAlignment="1">
      <alignment horizontal="center" vertical="center" wrapText="1"/>
    </xf>
    <xf numFmtId="1" fontId="32" fillId="0" borderId="7" xfId="0" applyNumberFormat="1" applyFont="1" applyFill="1" applyBorder="1" applyAlignment="1">
      <alignment horizontal="center" vertical="center" wrapText="1"/>
    </xf>
    <xf numFmtId="0" fontId="16" fillId="0" borderId="86" xfId="0" applyFont="1" applyFill="1" applyBorder="1" applyAlignment="1">
      <alignment vertical="center" wrapText="1"/>
    </xf>
    <xf numFmtId="0" fontId="32" fillId="0" borderId="100" xfId="0" applyFont="1" applyFill="1" applyBorder="1" applyAlignment="1">
      <alignment horizontal="center" vertical="center" wrapText="1"/>
    </xf>
    <xf numFmtId="2" fontId="32" fillId="0" borderId="100" xfId="0" applyNumberFormat="1" applyFont="1" applyFill="1" applyBorder="1" applyAlignment="1">
      <alignment horizontal="center" vertical="center" wrapText="1"/>
    </xf>
    <xf numFmtId="0" fontId="19" fillId="0" borderId="10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vertical="center" wrapText="1"/>
    </xf>
    <xf numFmtId="0" fontId="30" fillId="0" borderId="95" xfId="0" applyFont="1" applyFill="1" applyBorder="1" applyAlignment="1">
      <alignment horizontal="center" vertical="center" wrapText="1"/>
    </xf>
    <xf numFmtId="0" fontId="32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10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1" fontId="32" fillId="0" borderId="12" xfId="0" applyNumberFormat="1" applyFont="1" applyFill="1" applyBorder="1" applyAlignment="1">
      <alignment horizontal="center" vertical="center" wrapText="1"/>
    </xf>
    <xf numFmtId="0" fontId="19" fillId="0" borderId="9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16" fillId="0" borderId="10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1" fontId="32" fillId="0" borderId="106" xfId="0" applyNumberFormat="1" applyFont="1" applyFill="1" applyBorder="1" applyAlignment="1">
      <alignment horizontal="center" vertical="center" wrapText="1"/>
    </xf>
    <xf numFmtId="0" fontId="19" fillId="0" borderId="103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15"/>
    </xf>
    <xf numFmtId="0" fontId="19" fillId="0" borderId="6" xfId="0" applyFont="1" applyFill="1" applyBorder="1" applyAlignment="1">
      <alignment vertical="center" wrapText="1"/>
    </xf>
    <xf numFmtId="0" fontId="30" fillId="0" borderId="27" xfId="0" applyFont="1" applyFill="1" applyBorder="1" applyAlignment="1">
      <alignment vertical="center" wrapText="1"/>
    </xf>
    <xf numFmtId="0" fontId="30" fillId="0" borderId="76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16" fillId="0" borderId="77" xfId="0" applyFont="1" applyFill="1" applyBorder="1" applyAlignment="1">
      <alignment vertical="center" wrapText="1"/>
    </xf>
    <xf numFmtId="1" fontId="16" fillId="0" borderId="3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vertical="center" wrapText="1"/>
    </xf>
    <xf numFmtId="1" fontId="16" fillId="0" borderId="41" xfId="0" applyNumberFormat="1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6" fillId="0" borderId="81" xfId="0" applyFont="1" applyFill="1" applyBorder="1" applyAlignment="1">
      <alignment vertical="center" wrapText="1"/>
    </xf>
    <xf numFmtId="2" fontId="16" fillId="0" borderId="58" xfId="0" applyNumberFormat="1" applyFont="1" applyFill="1" applyBorder="1" applyAlignment="1">
      <alignment horizontal="center" vertical="center" wrapText="1"/>
    </xf>
    <xf numFmtId="0" fontId="16" fillId="0" borderId="8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vertical="top" wrapText="1"/>
    </xf>
    <xf numFmtId="0" fontId="19" fillId="0" borderId="43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vertical="top" wrapText="1"/>
    </xf>
    <xf numFmtId="0" fontId="16" fillId="0" borderId="32" xfId="0" applyFont="1" applyFill="1" applyBorder="1" applyAlignment="1">
      <alignment vertical="top" wrapText="1"/>
    </xf>
    <xf numFmtId="0" fontId="16" fillId="0" borderId="41" xfId="0" applyFont="1" applyFill="1" applyBorder="1" applyAlignment="1">
      <alignment vertical="top" wrapText="1"/>
    </xf>
    <xf numFmtId="0" fontId="16" fillId="0" borderId="0" xfId="0" applyFont="1" applyFill="1" applyAlignment="1">
      <alignment horizontal="center" vertical="top" wrapText="1"/>
    </xf>
    <xf numFmtId="0" fontId="30" fillId="0" borderId="32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horizontal="center" vertical="center" wrapText="1"/>
    </xf>
    <xf numFmtId="2" fontId="32" fillId="0" borderId="32" xfId="0" applyNumberFormat="1" applyFont="1" applyFill="1" applyBorder="1" applyAlignment="1">
      <alignment horizontal="center" vertical="center" wrapText="1"/>
    </xf>
    <xf numFmtId="164" fontId="19" fillId="0" borderId="8" xfId="0" applyNumberFormat="1" applyFont="1" applyFill="1" applyBorder="1" applyAlignment="1">
      <alignment horizontal="center" vertical="center" wrapText="1"/>
    </xf>
    <xf numFmtId="164" fontId="32" fillId="0" borderId="32" xfId="0" applyNumberFormat="1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2" fillId="0" borderId="9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>
      <alignment horizontal="left" vertical="center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31" fillId="0" borderId="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29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left" vertical="center" wrapText="1"/>
    </xf>
    <xf numFmtId="2" fontId="29" fillId="0" borderId="17" xfId="0" applyNumberFormat="1" applyFont="1" applyFill="1" applyBorder="1" applyAlignment="1">
      <alignment horizontal="center" vertical="center" wrapText="1"/>
    </xf>
    <xf numFmtId="2" fontId="29" fillId="0" borderId="19" xfId="0" applyNumberFormat="1" applyFont="1" applyFill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2" fontId="42" fillId="0" borderId="17" xfId="0" applyNumberFormat="1" applyFont="1" applyFill="1" applyBorder="1" applyAlignment="1">
      <alignment horizontal="center" vertical="center" wrapText="1"/>
    </xf>
    <xf numFmtId="2" fontId="19" fillId="0" borderId="19" xfId="0" applyNumberFormat="1" applyFont="1" applyFill="1" applyBorder="1" applyAlignment="1">
      <alignment horizontal="center" vertical="center" wrapText="1"/>
    </xf>
    <xf numFmtId="1" fontId="19" fillId="0" borderId="17" xfId="0" applyNumberFormat="1" applyFont="1" applyFill="1" applyBorder="1" applyAlignment="1">
      <alignment horizontal="center" vertical="center" wrapText="1"/>
    </xf>
    <xf numFmtId="1" fontId="19" fillId="0" borderId="106" xfId="0" applyNumberFormat="1" applyFont="1" applyFill="1" applyBorder="1" applyAlignment="1">
      <alignment horizontal="center" vertical="center" wrapText="1"/>
    </xf>
    <xf numFmtId="2" fontId="19" fillId="0" borderId="17" xfId="0" applyNumberFormat="1" applyFont="1" applyFill="1" applyBorder="1" applyAlignment="1">
      <alignment horizontal="center" vertical="center" wrapText="1"/>
    </xf>
    <xf numFmtId="0" fontId="19" fillId="0" borderId="7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vertical="center"/>
    </xf>
    <xf numFmtId="0" fontId="19" fillId="0" borderId="85" xfId="0" applyFont="1" applyFill="1" applyBorder="1" applyAlignment="1">
      <alignment vertical="center"/>
    </xf>
    <xf numFmtId="0" fontId="19" fillId="0" borderId="109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82" xfId="0" applyFont="1" applyFill="1" applyBorder="1" applyAlignment="1">
      <alignment horizontal="center" vertical="center" wrapText="1"/>
    </xf>
    <xf numFmtId="0" fontId="19" fillId="0" borderId="89" xfId="0" applyFont="1" applyFill="1" applyBorder="1" applyAlignment="1">
      <alignment horizontal="center" vertical="center" wrapText="1"/>
    </xf>
    <xf numFmtId="0" fontId="19" fillId="0" borderId="90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19" fillId="0" borderId="74" xfId="0" applyFont="1" applyFill="1" applyBorder="1" applyAlignment="1">
      <alignment vertical="center"/>
    </xf>
    <xf numFmtId="0" fontId="19" fillId="0" borderId="75" xfId="0" applyFont="1" applyFill="1" applyBorder="1" applyAlignment="1">
      <alignment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8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vertical="center" wrapText="1"/>
    </xf>
    <xf numFmtId="0" fontId="29" fillId="0" borderId="7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 wrapText="1"/>
    </xf>
    <xf numFmtId="0" fontId="19" fillId="0" borderId="8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12" xfId="0" applyFont="1" applyFill="1" applyBorder="1" applyAlignment="1">
      <alignment horizontal="center" vertical="center" wrapText="1"/>
    </xf>
    <xf numFmtId="0" fontId="29" fillId="0" borderId="86" xfId="0" applyFont="1" applyFill="1" applyBorder="1" applyAlignment="1">
      <alignment horizontal="center" vertical="center" wrapText="1"/>
    </xf>
    <xf numFmtId="0" fontId="29" fillId="0" borderId="85" xfId="0" applyFont="1" applyFill="1" applyBorder="1" applyAlignment="1">
      <alignment horizontal="center" vertical="center" wrapText="1"/>
    </xf>
    <xf numFmtId="0" fontId="29" fillId="0" borderId="8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left" vertical="center" wrapText="1"/>
    </xf>
    <xf numFmtId="0" fontId="7" fillId="5" borderId="49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/>
  <dimension ref="A1:AJ302"/>
  <sheetViews>
    <sheetView topLeftCell="A289" workbookViewId="0">
      <selection activeCell="I299" sqref="I299"/>
    </sheetView>
  </sheetViews>
  <sheetFormatPr defaultRowHeight="15"/>
  <cols>
    <col min="1" max="1" width="30.5703125" style="136" customWidth="1"/>
    <col min="2" max="2" width="15.42578125" style="135" customWidth="1"/>
    <col min="3" max="3" width="11.140625" style="135" customWidth="1"/>
    <col min="4" max="4" width="10.42578125" style="135" customWidth="1"/>
    <col min="5" max="5" width="11.28515625" style="136" customWidth="1"/>
    <col min="6" max="6" width="21.140625" style="136" customWidth="1"/>
    <col min="7" max="7" width="11" style="136" customWidth="1"/>
    <col min="8" max="8" width="10.140625" style="136" customWidth="1"/>
    <col min="9" max="9" width="9.140625" style="47"/>
    <col min="10" max="10" width="7.5703125" style="56" customWidth="1"/>
    <col min="11" max="11" width="10.7109375" style="64" customWidth="1"/>
    <col min="12" max="12" width="12.140625" customWidth="1"/>
    <col min="13" max="13" width="6" customWidth="1"/>
    <col min="14" max="14" width="10.42578125" customWidth="1"/>
    <col min="15" max="15" width="7" customWidth="1"/>
    <col min="16" max="16" width="8.140625" customWidth="1"/>
    <col min="17" max="17" width="6.28515625" style="23" customWidth="1"/>
    <col min="18" max="36" width="9.140625" style="23"/>
  </cols>
  <sheetData>
    <row r="1" spans="1:18" ht="15.75">
      <c r="A1" s="134" t="s">
        <v>241</v>
      </c>
    </row>
    <row r="2" spans="1:18" ht="15.75">
      <c r="A2" s="134"/>
    </row>
    <row r="3" spans="1:18">
      <c r="A3" s="137" t="s">
        <v>204</v>
      </c>
    </row>
    <row r="4" spans="1:18">
      <c r="A4" s="137"/>
    </row>
    <row r="5" spans="1:18">
      <c r="A5" s="375" t="s">
        <v>205</v>
      </c>
      <c r="B5" s="375"/>
      <c r="C5" s="375"/>
      <c r="D5" s="375"/>
      <c r="E5" s="375"/>
      <c r="F5" s="375"/>
      <c r="G5" s="138"/>
      <c r="H5" s="138"/>
    </row>
    <row r="6" spans="1:18">
      <c r="A6" s="139"/>
    </row>
    <row r="7" spans="1:18" ht="15.75" thickBot="1">
      <c r="A7" s="367" t="s">
        <v>225</v>
      </c>
      <c r="B7" s="367"/>
      <c r="C7" s="367"/>
      <c r="D7" s="367"/>
      <c r="E7" s="367"/>
    </row>
    <row r="8" spans="1:18" ht="27" thickTop="1" thickBot="1">
      <c r="A8" s="140" t="s">
        <v>0</v>
      </c>
      <c r="B8" s="141" t="s">
        <v>1</v>
      </c>
      <c r="C8" s="142" t="s">
        <v>2</v>
      </c>
      <c r="D8" s="143" t="s">
        <v>3</v>
      </c>
      <c r="E8" s="144" t="s">
        <v>4</v>
      </c>
      <c r="F8" s="145" t="s">
        <v>25</v>
      </c>
      <c r="G8" s="146"/>
      <c r="H8" s="146"/>
      <c r="I8" s="47" t="s">
        <v>238</v>
      </c>
      <c r="J8" s="56" t="s">
        <v>239</v>
      </c>
      <c r="K8" s="64" t="s">
        <v>165</v>
      </c>
    </row>
    <row r="9" spans="1:18" ht="29.25" customHeight="1" thickBot="1">
      <c r="A9" s="420" t="s">
        <v>227</v>
      </c>
      <c r="B9" s="147" t="s">
        <v>24</v>
      </c>
      <c r="C9" s="148">
        <v>100000</v>
      </c>
      <c r="D9" s="149">
        <v>0.5</v>
      </c>
      <c r="E9" s="422"/>
      <c r="F9" s="447" t="s">
        <v>26</v>
      </c>
      <c r="G9" s="146"/>
      <c r="H9" s="146"/>
      <c r="L9" s="27"/>
      <c r="M9" s="27"/>
      <c r="N9" s="27"/>
      <c r="O9" s="27"/>
      <c r="P9" s="27"/>
      <c r="Q9" s="28"/>
      <c r="R9" s="28"/>
    </row>
    <row r="10" spans="1:18">
      <c r="A10" s="421"/>
      <c r="B10" s="150" t="s">
        <v>6</v>
      </c>
      <c r="C10" s="151">
        <f>C9*18%</f>
        <v>18000</v>
      </c>
      <c r="D10" s="152">
        <v>0.5</v>
      </c>
      <c r="E10" s="422"/>
      <c r="F10" s="448"/>
      <c r="G10" s="146"/>
      <c r="H10" s="146"/>
      <c r="L10" s="27"/>
      <c r="M10" s="27"/>
      <c r="N10" s="27"/>
      <c r="O10" s="27"/>
      <c r="P10" s="27"/>
      <c r="Q10" s="28"/>
      <c r="R10" s="28"/>
    </row>
    <row r="11" spans="1:18" ht="30.75" customHeight="1">
      <c r="A11" s="443" t="s">
        <v>229</v>
      </c>
      <c r="B11" s="153" t="s">
        <v>5</v>
      </c>
      <c r="C11" s="154">
        <v>20000</v>
      </c>
      <c r="D11" s="152">
        <v>0.5</v>
      </c>
      <c r="E11" s="155"/>
      <c r="F11" s="448"/>
      <c r="G11" s="146"/>
      <c r="H11" s="146"/>
      <c r="L11" s="27"/>
      <c r="M11" s="27"/>
      <c r="N11" s="35"/>
      <c r="O11" s="27"/>
      <c r="P11" s="27"/>
      <c r="Q11" s="28"/>
      <c r="R11" s="28"/>
    </row>
    <row r="12" spans="1:18" ht="32.25" customHeight="1">
      <c r="A12" s="443"/>
      <c r="B12" s="150" t="s">
        <v>6</v>
      </c>
      <c r="C12" s="156">
        <f>C11/1.18*18%</f>
        <v>3050.8474576271187</v>
      </c>
      <c r="D12" s="152">
        <v>0.5</v>
      </c>
      <c r="E12" s="155"/>
      <c r="F12" s="448"/>
      <c r="G12" s="146"/>
      <c r="H12" s="146"/>
      <c r="L12" s="27"/>
      <c r="M12" s="27"/>
      <c r="N12" s="35"/>
      <c r="O12" s="27"/>
      <c r="P12" s="27"/>
      <c r="Q12" s="28"/>
      <c r="R12" s="28"/>
    </row>
    <row r="13" spans="1:18" ht="75">
      <c r="A13" s="157" t="s">
        <v>228</v>
      </c>
      <c r="B13" s="153" t="s">
        <v>5</v>
      </c>
      <c r="C13" s="156">
        <f>(100000+18000-20000)/1.18</f>
        <v>83050.847457627126</v>
      </c>
      <c r="D13" s="152">
        <v>0.5</v>
      </c>
      <c r="E13" s="155"/>
      <c r="F13" s="448"/>
      <c r="G13" s="158">
        <f>C13</f>
        <v>83050.847457627126</v>
      </c>
      <c r="H13" s="146"/>
      <c r="L13" s="27" t="e">
        <f>#REF!*18%</f>
        <v>#REF!</v>
      </c>
      <c r="M13" s="27"/>
      <c r="N13" s="35"/>
      <c r="O13" s="27"/>
      <c r="P13" s="27"/>
      <c r="Q13" s="28"/>
      <c r="R13" s="28"/>
    </row>
    <row r="14" spans="1:18" ht="60.75" thickBot="1">
      <c r="A14" s="159" t="s">
        <v>226</v>
      </c>
      <c r="B14" s="160" t="s">
        <v>6</v>
      </c>
      <c r="C14" s="161">
        <f>C10-C12</f>
        <v>14949.152542372882</v>
      </c>
      <c r="D14" s="162">
        <v>0.5</v>
      </c>
      <c r="E14" s="163"/>
      <c r="F14" s="449"/>
      <c r="G14" s="146"/>
      <c r="H14" s="146"/>
      <c r="L14" s="27"/>
      <c r="M14" s="27"/>
      <c r="N14" s="27"/>
      <c r="O14" s="27"/>
      <c r="P14" s="27"/>
      <c r="Q14" s="28"/>
      <c r="R14" s="28"/>
    </row>
    <row r="15" spans="1:18">
      <c r="A15" s="151"/>
      <c r="B15" s="164"/>
      <c r="C15" s="151"/>
      <c r="D15" s="151"/>
      <c r="E15" s="165"/>
      <c r="F15" s="130"/>
      <c r="G15" s="146"/>
      <c r="H15" s="146"/>
      <c r="L15" s="27"/>
      <c r="M15" s="27"/>
      <c r="N15" s="27"/>
      <c r="O15" s="27"/>
      <c r="P15" s="27"/>
      <c r="Q15" s="28"/>
      <c r="R15" s="28"/>
    </row>
    <row r="16" spans="1:18" ht="15.75" thickBot="1">
      <c r="A16" s="367" t="s">
        <v>98</v>
      </c>
      <c r="B16" s="367"/>
      <c r="C16" s="367"/>
      <c r="D16" s="367"/>
      <c r="E16" s="367"/>
      <c r="G16" s="146"/>
      <c r="H16" s="146"/>
      <c r="L16" s="27"/>
      <c r="M16" s="27"/>
      <c r="N16" s="27"/>
      <c r="O16" s="27"/>
      <c r="P16" s="27"/>
      <c r="Q16" s="28"/>
      <c r="R16" s="28"/>
    </row>
    <row r="17" spans="1:36" ht="27" thickTop="1" thickBot="1">
      <c r="A17" s="166" t="s">
        <v>0</v>
      </c>
      <c r="B17" s="167" t="s">
        <v>1</v>
      </c>
      <c r="C17" s="168" t="s">
        <v>2</v>
      </c>
      <c r="D17" s="169" t="s">
        <v>3</v>
      </c>
      <c r="E17" s="170" t="s">
        <v>4</v>
      </c>
      <c r="F17" s="145" t="s">
        <v>25</v>
      </c>
      <c r="G17" s="146"/>
      <c r="H17" s="146"/>
      <c r="K17" s="65"/>
      <c r="L17" s="27"/>
      <c r="M17" s="27"/>
      <c r="N17" s="27"/>
      <c r="O17" s="27"/>
      <c r="P17" s="27"/>
      <c r="Q17" s="28"/>
      <c r="R17" s="28"/>
    </row>
    <row r="18" spans="1:36" ht="15.75" thickBot="1">
      <c r="A18" s="360" t="s">
        <v>56</v>
      </c>
      <c r="B18" s="171" t="s">
        <v>57</v>
      </c>
      <c r="C18" s="172">
        <f>20000/1.18</f>
        <v>16949.152542372882</v>
      </c>
      <c r="D18" s="173">
        <v>0.5</v>
      </c>
      <c r="E18" s="362"/>
      <c r="F18" s="428" t="s">
        <v>59</v>
      </c>
      <c r="G18" s="158">
        <f>C18</f>
        <v>16949.152542372882</v>
      </c>
      <c r="H18" s="146"/>
      <c r="I18" s="48"/>
      <c r="L18" s="27" t="e">
        <f>#REF!*18%</f>
        <v>#REF!</v>
      </c>
      <c r="M18" s="27"/>
      <c r="N18" s="27"/>
      <c r="O18" s="27"/>
      <c r="P18" s="27"/>
      <c r="Q18" s="28"/>
      <c r="R18" s="28"/>
    </row>
    <row r="19" spans="1:36" ht="15.75" thickBot="1">
      <c r="A19" s="361"/>
      <c r="B19" s="171" t="s">
        <v>6</v>
      </c>
      <c r="C19" s="172">
        <f>C18*18%</f>
        <v>3050.8474576271187</v>
      </c>
      <c r="D19" s="173">
        <v>0.5</v>
      </c>
      <c r="E19" s="363"/>
      <c r="F19" s="429"/>
      <c r="G19" s="146"/>
      <c r="H19" s="146"/>
      <c r="J19" s="57"/>
      <c r="L19" s="27"/>
      <c r="M19" s="27"/>
      <c r="N19" s="27"/>
      <c r="O19" s="27"/>
      <c r="P19" s="27"/>
      <c r="Q19" s="28"/>
      <c r="R19" s="28"/>
    </row>
    <row r="20" spans="1:36">
      <c r="A20" s="151"/>
      <c r="B20" s="164"/>
      <c r="C20" s="151"/>
      <c r="D20" s="151"/>
      <c r="E20" s="165"/>
      <c r="F20" s="130"/>
      <c r="G20" s="146"/>
      <c r="H20" s="146"/>
      <c r="L20" s="27"/>
      <c r="M20" s="27"/>
      <c r="N20" s="27"/>
      <c r="O20" s="27"/>
      <c r="P20" s="27"/>
      <c r="Q20" s="28"/>
      <c r="R20" s="28"/>
    </row>
    <row r="21" spans="1:36" s="1" customFormat="1" ht="15.75" thickBot="1">
      <c r="A21" s="367" t="s">
        <v>242</v>
      </c>
      <c r="B21" s="367"/>
      <c r="C21" s="367"/>
      <c r="D21" s="367"/>
      <c r="E21" s="367"/>
      <c r="F21" s="174"/>
      <c r="G21" s="146"/>
      <c r="H21" s="146"/>
      <c r="I21" s="49"/>
      <c r="J21" s="56"/>
      <c r="K21" s="66"/>
      <c r="L21" s="36"/>
      <c r="M21" s="36"/>
      <c r="N21" s="36"/>
      <c r="O21" s="36"/>
      <c r="P21" s="36"/>
      <c r="Q21" s="37"/>
      <c r="R21" s="3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7" thickTop="1" thickBot="1">
      <c r="A22" s="166" t="s">
        <v>0</v>
      </c>
      <c r="B22" s="167" t="s">
        <v>1</v>
      </c>
      <c r="C22" s="168" t="s">
        <v>2</v>
      </c>
      <c r="D22" s="169" t="s">
        <v>3</v>
      </c>
      <c r="E22" s="175" t="s">
        <v>4</v>
      </c>
      <c r="F22" s="145" t="s">
        <v>25</v>
      </c>
      <c r="G22" s="146"/>
      <c r="H22" s="146"/>
      <c r="L22" s="27"/>
      <c r="M22" s="27"/>
      <c r="N22" s="27"/>
      <c r="O22" s="27"/>
      <c r="P22" s="27"/>
      <c r="Q22" s="28"/>
      <c r="R22" s="28"/>
    </row>
    <row r="23" spans="1:36" ht="48.75" thickBot="1">
      <c r="A23" s="176" t="s">
        <v>28</v>
      </c>
      <c r="B23" s="177" t="s">
        <v>5</v>
      </c>
      <c r="C23" s="171" t="s">
        <v>7</v>
      </c>
      <c r="D23" s="177">
        <v>0.5</v>
      </c>
      <c r="E23" s="178"/>
      <c r="F23" s="179" t="s">
        <v>30</v>
      </c>
      <c r="G23" s="146"/>
      <c r="H23" s="146"/>
      <c r="K23" s="64" t="s">
        <v>58</v>
      </c>
      <c r="L23" s="27"/>
      <c r="M23" s="27"/>
      <c r="N23" s="27"/>
      <c r="O23" s="27"/>
      <c r="P23" s="27"/>
      <c r="Q23" s="28" t="s">
        <v>11</v>
      </c>
      <c r="R23" s="28"/>
    </row>
    <row r="24" spans="1:36" ht="45.75" thickBot="1">
      <c r="A24" s="180" t="s">
        <v>214</v>
      </c>
      <c r="B24" s="177" t="s">
        <v>5</v>
      </c>
      <c r="C24" s="181">
        <f>250/1.18</f>
        <v>211.86440677966104</v>
      </c>
      <c r="D24" s="372">
        <v>0.5</v>
      </c>
      <c r="E24" s="400"/>
      <c r="F24" s="392" t="s">
        <v>62</v>
      </c>
      <c r="G24" s="158">
        <f>C24</f>
        <v>211.86440677966104</v>
      </c>
      <c r="H24" s="146"/>
      <c r="I24" s="48"/>
      <c r="L24" s="27"/>
      <c r="M24" s="27"/>
      <c r="N24" s="27"/>
      <c r="O24" s="27"/>
      <c r="P24" s="27"/>
      <c r="Q24" s="28"/>
      <c r="R24" s="28"/>
    </row>
    <row r="25" spans="1:36" ht="15.75" thickBot="1">
      <c r="A25" s="182" t="s">
        <v>27</v>
      </c>
      <c r="B25" s="171" t="s">
        <v>6</v>
      </c>
      <c r="C25" s="172">
        <f>C24*18%</f>
        <v>38.135593220338983</v>
      </c>
      <c r="D25" s="361"/>
      <c r="E25" s="363"/>
      <c r="F25" s="394"/>
      <c r="G25" s="146"/>
      <c r="H25" s="146"/>
      <c r="L25" s="27" t="e">
        <f>#REF!*18%</f>
        <v>#REF!</v>
      </c>
      <c r="M25" s="27"/>
      <c r="N25" s="27"/>
      <c r="O25" s="27"/>
      <c r="P25" s="27"/>
      <c r="Q25" s="28"/>
      <c r="R25" s="28"/>
    </row>
    <row r="26" spans="1:36" ht="17.25" customHeight="1">
      <c r="G26" s="146"/>
      <c r="H26" s="146"/>
      <c r="L26" s="27"/>
      <c r="M26" s="27"/>
      <c r="N26" s="27"/>
      <c r="O26" s="27"/>
      <c r="P26" s="27"/>
      <c r="Q26" s="28"/>
      <c r="R26" s="28"/>
    </row>
    <row r="27" spans="1:36" ht="22.5" customHeight="1" thickBot="1">
      <c r="A27" s="183" t="s">
        <v>61</v>
      </c>
      <c r="B27" s="183"/>
      <c r="C27" s="183"/>
      <c r="D27" s="183"/>
      <c r="E27" s="183"/>
      <c r="F27" s="183"/>
      <c r="G27" s="146"/>
      <c r="H27" s="146"/>
      <c r="I27" s="50"/>
      <c r="J27" s="58"/>
      <c r="K27" s="67"/>
      <c r="L27" s="27"/>
      <c r="M27" s="27"/>
      <c r="N27" s="27"/>
      <c r="O27" s="27"/>
      <c r="P27" s="27"/>
      <c r="Q27" s="28"/>
      <c r="R27" s="28"/>
    </row>
    <row r="28" spans="1:36" ht="26.25" thickBot="1">
      <c r="A28" s="184" t="s">
        <v>0</v>
      </c>
      <c r="B28" s="185" t="s">
        <v>1</v>
      </c>
      <c r="C28" s="186" t="s">
        <v>2</v>
      </c>
      <c r="D28" s="187" t="s">
        <v>3</v>
      </c>
      <c r="E28" s="188" t="s">
        <v>4</v>
      </c>
      <c r="F28" s="145" t="s">
        <v>25</v>
      </c>
      <c r="G28" s="146"/>
      <c r="H28" s="146"/>
      <c r="L28" s="27"/>
      <c r="M28" s="27"/>
      <c r="N28" s="27"/>
      <c r="O28" s="27"/>
      <c r="P28" s="27"/>
      <c r="Q28" s="28"/>
      <c r="R28" s="28"/>
    </row>
    <row r="29" spans="1:36" ht="51" customHeight="1" thickBot="1">
      <c r="A29" s="189" t="s">
        <v>60</v>
      </c>
      <c r="B29" s="153" t="s">
        <v>5</v>
      </c>
      <c r="C29" s="150">
        <f>20*0</f>
        <v>0</v>
      </c>
      <c r="D29" s="444">
        <v>0.5</v>
      </c>
      <c r="E29" s="190"/>
      <c r="F29" s="179" t="s">
        <v>30</v>
      </c>
      <c r="G29" s="146"/>
      <c r="H29" s="146"/>
      <c r="L29" s="27"/>
      <c r="M29" s="27"/>
      <c r="N29" s="27"/>
      <c r="O29" s="27"/>
      <c r="P29" s="27"/>
      <c r="Q29" s="28"/>
      <c r="R29" s="28"/>
    </row>
    <row r="30" spans="1:36">
      <c r="A30" s="423" t="s">
        <v>210</v>
      </c>
      <c r="B30" s="150" t="s">
        <v>5</v>
      </c>
      <c r="C30" s="191">
        <f>30*0</f>
        <v>0</v>
      </c>
      <c r="D30" s="445"/>
      <c r="E30" s="423"/>
      <c r="F30" s="392" t="s">
        <v>62</v>
      </c>
      <c r="G30" s="146"/>
      <c r="H30" s="146"/>
      <c r="L30" s="27"/>
      <c r="M30" s="27"/>
      <c r="N30" s="27"/>
      <c r="O30" s="27"/>
      <c r="P30" s="27"/>
      <c r="Q30" s="28"/>
      <c r="R30" s="28"/>
    </row>
    <row r="31" spans="1:36" ht="30.75" customHeight="1" thickBot="1">
      <c r="A31" s="424"/>
      <c r="B31" s="150" t="s">
        <v>6</v>
      </c>
      <c r="C31" s="192">
        <f>C30*18</f>
        <v>0</v>
      </c>
      <c r="D31" s="446"/>
      <c r="E31" s="424"/>
      <c r="F31" s="394"/>
      <c r="G31" s="146"/>
      <c r="H31" s="146"/>
      <c r="L31" s="27"/>
      <c r="M31" s="27"/>
      <c r="N31" s="27"/>
      <c r="O31" s="27"/>
      <c r="P31" s="27"/>
      <c r="Q31" s="28"/>
      <c r="R31" s="28"/>
    </row>
    <row r="32" spans="1:36" ht="24.75">
      <c r="A32" s="151"/>
      <c r="B32" s="193"/>
      <c r="C32" s="151"/>
      <c r="D32" s="151"/>
      <c r="E32" s="165"/>
      <c r="F32" s="132"/>
      <c r="G32" s="146"/>
      <c r="H32" s="146"/>
      <c r="I32" s="51"/>
      <c r="J32" s="59"/>
      <c r="L32" s="27"/>
      <c r="M32" s="27"/>
      <c r="N32" s="27"/>
      <c r="O32" s="27"/>
      <c r="P32" s="27"/>
      <c r="Q32" s="28"/>
      <c r="R32" s="28"/>
    </row>
    <row r="33" spans="1:36" ht="15.75" thickBot="1">
      <c r="A33" s="367" t="s">
        <v>243</v>
      </c>
      <c r="B33" s="367"/>
      <c r="C33" s="367"/>
      <c r="D33" s="367"/>
      <c r="E33" s="367"/>
      <c r="G33" s="146"/>
      <c r="H33" s="146"/>
      <c r="I33" s="51"/>
      <c r="J33" s="59"/>
      <c r="L33" s="27"/>
      <c r="M33" s="27"/>
      <c r="N33" s="27"/>
      <c r="O33" s="27"/>
      <c r="P33" s="27"/>
      <c r="Q33" s="28"/>
      <c r="R33" s="28"/>
    </row>
    <row r="34" spans="1:36" ht="27" thickTop="1" thickBot="1">
      <c r="A34" s="166" t="s">
        <v>0</v>
      </c>
      <c r="B34" s="167" t="s">
        <v>1</v>
      </c>
      <c r="C34" s="168" t="s">
        <v>2</v>
      </c>
      <c r="D34" s="169" t="s">
        <v>3</v>
      </c>
      <c r="E34" s="170" t="s">
        <v>4</v>
      </c>
      <c r="F34" s="194" t="s">
        <v>25</v>
      </c>
      <c r="G34" s="146"/>
      <c r="H34" s="146"/>
      <c r="I34" s="51"/>
      <c r="J34" s="59"/>
      <c r="L34" s="27"/>
      <c r="M34" s="27"/>
      <c r="N34" s="27"/>
      <c r="O34" s="27"/>
      <c r="P34" s="27"/>
      <c r="Q34" s="28"/>
      <c r="R34" s="28"/>
    </row>
    <row r="35" spans="1:36" ht="30.75" thickBot="1">
      <c r="A35" s="180" t="s">
        <v>29</v>
      </c>
      <c r="B35" s="171" t="s">
        <v>5</v>
      </c>
      <c r="C35" s="173">
        <v>466.39</v>
      </c>
      <c r="D35" s="360">
        <v>1.5</v>
      </c>
      <c r="E35" s="362"/>
      <c r="F35" s="195" t="s">
        <v>244</v>
      </c>
      <c r="G35" s="146"/>
      <c r="H35" s="146"/>
      <c r="I35" s="51">
        <f>C35</f>
        <v>466.39</v>
      </c>
      <c r="J35" s="59"/>
      <c r="L35" s="27"/>
      <c r="M35" s="27"/>
      <c r="N35" s="27"/>
      <c r="O35" s="27"/>
      <c r="P35" s="27"/>
      <c r="Q35" s="28"/>
      <c r="R35" s="28"/>
    </row>
    <row r="36" spans="1:36" ht="30.75" thickBot="1">
      <c r="A36" s="196" t="s">
        <v>237</v>
      </c>
      <c r="B36" s="197" t="s">
        <v>245</v>
      </c>
      <c r="C36" s="172">
        <f>C35*0%</f>
        <v>0</v>
      </c>
      <c r="D36" s="361"/>
      <c r="E36" s="363"/>
      <c r="F36" s="195" t="s">
        <v>246</v>
      </c>
      <c r="G36" s="146"/>
      <c r="H36" s="146"/>
      <c r="I36" s="51"/>
      <c r="J36" s="59"/>
      <c r="L36" s="27"/>
      <c r="M36" s="27"/>
      <c r="N36" s="27"/>
      <c r="O36" s="27"/>
      <c r="P36" s="27"/>
      <c r="Q36" s="28"/>
      <c r="R36" s="28"/>
    </row>
    <row r="37" spans="1:36" ht="18.75" customHeight="1">
      <c r="A37" s="151"/>
      <c r="B37" s="193"/>
      <c r="C37" s="151"/>
      <c r="D37" s="151"/>
      <c r="E37" s="165"/>
      <c r="F37" s="198"/>
      <c r="G37" s="146"/>
      <c r="H37" s="146"/>
      <c r="I37" s="51"/>
      <c r="J37" s="59"/>
      <c r="L37" s="27"/>
      <c r="M37" s="27"/>
      <c r="N37" s="27"/>
      <c r="O37" s="27"/>
      <c r="P37" s="27"/>
      <c r="Q37" s="28"/>
      <c r="R37" s="28"/>
    </row>
    <row r="38" spans="1:36" ht="15.75" customHeight="1" thickBot="1">
      <c r="A38" s="367" t="s">
        <v>247</v>
      </c>
      <c r="B38" s="367"/>
      <c r="C38" s="367"/>
      <c r="D38" s="367"/>
      <c r="E38" s="367"/>
      <c r="G38" s="146"/>
      <c r="H38" s="146"/>
      <c r="I38" s="51"/>
      <c r="J38" s="59"/>
      <c r="L38" s="27"/>
      <c r="M38" s="27"/>
      <c r="N38" s="27"/>
      <c r="O38" s="27"/>
      <c r="P38" s="27"/>
      <c r="Q38" s="28"/>
      <c r="R38" s="28"/>
    </row>
    <row r="39" spans="1:36" ht="27" thickTop="1" thickBot="1">
      <c r="A39" s="166" t="s">
        <v>0</v>
      </c>
      <c r="B39" s="167" t="s">
        <v>1</v>
      </c>
      <c r="C39" s="168" t="s">
        <v>2</v>
      </c>
      <c r="D39" s="169" t="s">
        <v>3</v>
      </c>
      <c r="E39" s="170" t="s">
        <v>4</v>
      </c>
      <c r="F39" s="194" t="s">
        <v>25</v>
      </c>
      <c r="G39" s="146"/>
      <c r="H39" s="146"/>
      <c r="I39" s="52"/>
      <c r="J39" s="59"/>
      <c r="K39" s="425"/>
      <c r="L39" s="425"/>
      <c r="M39" s="425"/>
      <c r="N39" s="425"/>
      <c r="O39" s="425"/>
      <c r="P39" s="425"/>
      <c r="Q39" s="39"/>
      <c r="R39" s="39"/>
      <c r="S39" s="21"/>
      <c r="T39" s="30"/>
      <c r="U39" s="22"/>
    </row>
    <row r="40" spans="1:36" ht="30.75" thickBot="1">
      <c r="A40" s="180" t="s">
        <v>240</v>
      </c>
      <c r="B40" s="171" t="s">
        <v>5</v>
      </c>
      <c r="C40" s="172">
        <f>75*100*2.8/1500*75/1.18</f>
        <v>889.83050847457628</v>
      </c>
      <c r="D40" s="360">
        <v>1.5</v>
      </c>
      <c r="E40" s="362"/>
      <c r="F40" s="195" t="s">
        <v>244</v>
      </c>
      <c r="G40" s="158">
        <f>C40</f>
        <v>889.83050847457628</v>
      </c>
      <c r="H40" s="146"/>
      <c r="I40" s="51"/>
      <c r="J40" s="60"/>
      <c r="K40" s="24"/>
      <c r="L40" s="24"/>
      <c r="M40" s="24"/>
      <c r="N40" s="24"/>
      <c r="O40" s="24"/>
      <c r="P40" s="24"/>
      <c r="Q40" s="33"/>
      <c r="R40" s="40"/>
      <c r="S40" s="29"/>
      <c r="T40" s="435"/>
      <c r="U40" s="436"/>
    </row>
    <row r="41" spans="1:36" ht="30.75" customHeight="1" thickBot="1">
      <c r="A41" s="196" t="s">
        <v>236</v>
      </c>
      <c r="B41" s="197" t="s">
        <v>245</v>
      </c>
      <c r="C41" s="172">
        <f>C40*18%</f>
        <v>160.16949152542372</v>
      </c>
      <c r="D41" s="361"/>
      <c r="E41" s="363"/>
      <c r="F41" s="195" t="s">
        <v>248</v>
      </c>
      <c r="G41" s="158"/>
      <c r="H41" s="146"/>
      <c r="I41" s="51"/>
      <c r="J41" s="59"/>
      <c r="K41" s="24"/>
      <c r="L41" s="24">
        <f>C40*18%</f>
        <v>160.16949152542372</v>
      </c>
      <c r="M41" s="24"/>
      <c r="N41" s="24"/>
      <c r="O41" s="24"/>
      <c r="P41" s="24"/>
      <c r="Q41" s="33"/>
      <c r="R41" s="40"/>
      <c r="S41" s="29"/>
      <c r="T41" s="435"/>
      <c r="U41" s="436"/>
    </row>
    <row r="42" spans="1:36" ht="21" customHeight="1">
      <c r="A42" s="151"/>
      <c r="B42" s="193"/>
      <c r="C42" s="199"/>
      <c r="D42" s="151"/>
      <c r="E42" s="165"/>
      <c r="F42" s="198"/>
      <c r="G42" s="146"/>
      <c r="H42" s="146"/>
      <c r="I42" s="51"/>
      <c r="J42" s="59"/>
      <c r="K42" s="68"/>
      <c r="L42" s="46"/>
      <c r="M42" s="46"/>
      <c r="N42" s="46"/>
      <c r="O42" s="46"/>
      <c r="P42" s="46"/>
      <c r="Q42" s="46"/>
      <c r="R42" s="40"/>
      <c r="S42" s="44"/>
      <c r="T42" s="44"/>
      <c r="U42" s="45"/>
    </row>
    <row r="43" spans="1:36" s="1" customFormat="1" ht="21" customHeight="1" thickBot="1">
      <c r="A43" s="200" t="s">
        <v>249</v>
      </c>
      <c r="B43" s="200"/>
      <c r="C43" s="200"/>
      <c r="D43" s="200"/>
      <c r="E43" s="200"/>
      <c r="F43" s="200"/>
      <c r="G43" s="146"/>
      <c r="H43" s="146"/>
      <c r="I43" s="53"/>
      <c r="J43" s="61"/>
      <c r="K43" s="69"/>
      <c r="L43" s="36"/>
      <c r="M43" s="36"/>
      <c r="N43" s="36"/>
      <c r="O43" s="36"/>
      <c r="P43" s="36"/>
      <c r="Q43" s="37"/>
      <c r="R43" s="3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</row>
    <row r="44" spans="1:36" ht="31.5" customHeight="1" thickTop="1" thickBot="1">
      <c r="A44" s="166" t="s">
        <v>0</v>
      </c>
      <c r="B44" s="167" t="s">
        <v>1</v>
      </c>
      <c r="C44" s="168" t="s">
        <v>2</v>
      </c>
      <c r="D44" s="169" t="s">
        <v>3</v>
      </c>
      <c r="E44" s="170" t="s">
        <v>4</v>
      </c>
      <c r="F44" s="194" t="s">
        <v>25</v>
      </c>
      <c r="G44" s="146"/>
      <c r="H44" s="146"/>
      <c r="I44" s="51"/>
      <c r="J44" s="59"/>
      <c r="L44" s="27"/>
      <c r="M44" s="27"/>
      <c r="N44" s="27"/>
      <c r="O44" s="27"/>
      <c r="P44" s="27"/>
      <c r="Q44" s="28"/>
      <c r="R44" s="28"/>
    </row>
    <row r="45" spans="1:36" ht="33" customHeight="1" thickBot="1">
      <c r="A45" s="180" t="s">
        <v>63</v>
      </c>
      <c r="B45" s="171" t="s">
        <v>5</v>
      </c>
      <c r="C45" s="172">
        <f>15000/1.18</f>
        <v>12711.864406779661</v>
      </c>
      <c r="D45" s="360">
        <v>1.5</v>
      </c>
      <c r="E45" s="362"/>
      <c r="F45" s="414" t="s">
        <v>67</v>
      </c>
      <c r="G45" s="158">
        <f>C45</f>
        <v>12711.864406779661</v>
      </c>
      <c r="H45" s="146"/>
      <c r="I45" s="52"/>
      <c r="J45" s="59"/>
      <c r="L45" s="27"/>
      <c r="M45" s="27"/>
      <c r="N45" s="27"/>
      <c r="O45" s="27"/>
      <c r="P45" s="27"/>
      <c r="Q45" s="28"/>
      <c r="R45" s="28"/>
    </row>
    <row r="46" spans="1:36" ht="38.25" customHeight="1" thickBot="1">
      <c r="A46" s="196" t="s">
        <v>64</v>
      </c>
      <c r="B46" s="197" t="s">
        <v>245</v>
      </c>
      <c r="C46" s="172">
        <f>C45*18%</f>
        <v>2288.1355932203392</v>
      </c>
      <c r="D46" s="361"/>
      <c r="E46" s="363"/>
      <c r="F46" s="414"/>
      <c r="G46" s="146"/>
      <c r="H46" s="146"/>
      <c r="I46" s="51"/>
      <c r="J46" s="60"/>
      <c r="L46" s="27"/>
      <c r="M46" s="27"/>
      <c r="N46" s="27"/>
      <c r="O46" s="27"/>
      <c r="P46" s="27"/>
      <c r="Q46" s="28"/>
      <c r="R46" s="28"/>
    </row>
    <row r="47" spans="1:36" ht="21" customHeight="1">
      <c r="A47" s="201"/>
      <c r="B47" s="193"/>
      <c r="C47" s="151"/>
      <c r="D47" s="151"/>
      <c r="E47" s="165"/>
      <c r="G47" s="146"/>
      <c r="H47" s="146"/>
      <c r="I47" s="51"/>
      <c r="J47" s="59"/>
      <c r="L47" s="27"/>
      <c r="M47" s="27"/>
      <c r="N47" s="27"/>
      <c r="O47" s="27"/>
      <c r="P47" s="27"/>
      <c r="Q47" s="28"/>
      <c r="R47" s="28"/>
    </row>
    <row r="48" spans="1:36" ht="21" customHeight="1" thickBot="1">
      <c r="A48" s="200" t="s">
        <v>250</v>
      </c>
      <c r="B48" s="200"/>
      <c r="C48" s="200"/>
      <c r="D48" s="200"/>
      <c r="E48" s="200"/>
      <c r="F48" s="200"/>
      <c r="G48" s="146"/>
      <c r="H48" s="146"/>
      <c r="I48" s="53"/>
      <c r="J48" s="61"/>
      <c r="K48" s="69"/>
      <c r="L48" s="27"/>
      <c r="M48" s="27"/>
      <c r="N48" s="27"/>
      <c r="O48" s="27"/>
      <c r="P48" s="27"/>
      <c r="Q48" s="28"/>
      <c r="R48" s="28"/>
    </row>
    <row r="49" spans="1:18" ht="33" customHeight="1" thickTop="1" thickBot="1">
      <c r="A49" s="166" t="s">
        <v>0</v>
      </c>
      <c r="B49" s="167" t="s">
        <v>1</v>
      </c>
      <c r="C49" s="168" t="s">
        <v>2</v>
      </c>
      <c r="D49" s="169" t="s">
        <v>3</v>
      </c>
      <c r="E49" s="170" t="s">
        <v>4</v>
      </c>
      <c r="F49" s="194" t="s">
        <v>25</v>
      </c>
      <c r="G49" s="146"/>
      <c r="H49" s="146"/>
      <c r="I49" s="51"/>
      <c r="J49" s="59"/>
      <c r="L49" s="27"/>
      <c r="M49" s="27"/>
      <c r="N49" s="27"/>
      <c r="O49" s="27"/>
      <c r="P49" s="27"/>
      <c r="Q49" s="28"/>
      <c r="R49" s="28"/>
    </row>
    <row r="50" spans="1:18" ht="30.75" customHeight="1" thickBot="1">
      <c r="A50" s="180" t="s">
        <v>65</v>
      </c>
      <c r="B50" s="171" t="s">
        <v>5</v>
      </c>
      <c r="C50" s="173">
        <v>0</v>
      </c>
      <c r="D50" s="360">
        <v>0.5</v>
      </c>
      <c r="E50" s="362"/>
      <c r="F50" s="414" t="s">
        <v>67</v>
      </c>
      <c r="G50" s="146"/>
      <c r="H50" s="146"/>
      <c r="I50" s="51"/>
      <c r="J50" s="59"/>
      <c r="L50" s="27"/>
      <c r="M50" s="27"/>
      <c r="N50" s="27"/>
      <c r="O50" s="27"/>
      <c r="P50" s="27"/>
      <c r="Q50" s="28"/>
      <c r="R50" s="28"/>
    </row>
    <row r="51" spans="1:18" ht="30" customHeight="1" thickBot="1">
      <c r="A51" s="196" t="s">
        <v>66</v>
      </c>
      <c r="B51" s="197" t="s">
        <v>245</v>
      </c>
      <c r="C51" s="173">
        <v>0</v>
      </c>
      <c r="D51" s="361"/>
      <c r="E51" s="363"/>
      <c r="F51" s="414"/>
      <c r="G51" s="146"/>
      <c r="H51" s="146"/>
      <c r="I51" s="51"/>
      <c r="J51" s="59"/>
      <c r="L51" s="27"/>
      <c r="M51" s="27"/>
      <c r="N51" s="27"/>
      <c r="O51" s="27"/>
      <c r="P51" s="27"/>
      <c r="Q51" s="28"/>
      <c r="R51" s="28"/>
    </row>
    <row r="52" spans="1:18" ht="21" customHeight="1">
      <c r="A52" s="201"/>
      <c r="B52" s="193"/>
      <c r="C52" s="151"/>
      <c r="D52" s="151"/>
      <c r="E52" s="165"/>
      <c r="G52" s="146"/>
      <c r="H52" s="146"/>
      <c r="I52" s="51"/>
      <c r="J52" s="59"/>
      <c r="L52" s="27"/>
      <c r="M52" s="27"/>
      <c r="N52" s="27"/>
      <c r="O52" s="27"/>
      <c r="P52" s="27"/>
      <c r="Q52" s="28"/>
      <c r="R52" s="28"/>
    </row>
    <row r="53" spans="1:18" ht="21" customHeight="1" thickBot="1">
      <c r="A53" s="200" t="s">
        <v>99</v>
      </c>
      <c r="B53" s="200"/>
      <c r="C53" s="200"/>
      <c r="D53" s="200"/>
      <c r="E53" s="200"/>
      <c r="F53" s="200"/>
      <c r="G53" s="146"/>
      <c r="H53" s="146"/>
      <c r="I53" s="53"/>
      <c r="J53" s="61"/>
      <c r="K53" s="69"/>
      <c r="L53" s="27"/>
      <c r="M53" s="27"/>
      <c r="N53" s="27"/>
      <c r="O53" s="27"/>
      <c r="P53" s="27"/>
      <c r="Q53" s="28"/>
      <c r="R53" s="28"/>
    </row>
    <row r="54" spans="1:18" ht="29.25" customHeight="1" thickTop="1" thickBot="1">
      <c r="A54" s="166" t="s">
        <v>0</v>
      </c>
      <c r="B54" s="167" t="s">
        <v>1</v>
      </c>
      <c r="C54" s="168" t="s">
        <v>2</v>
      </c>
      <c r="D54" s="143" t="s">
        <v>3</v>
      </c>
      <c r="E54" s="144" t="s">
        <v>4</v>
      </c>
      <c r="F54" s="194" t="s">
        <v>25</v>
      </c>
      <c r="G54" s="146"/>
      <c r="H54" s="146"/>
      <c r="I54" s="51"/>
      <c r="J54" s="59"/>
      <c r="L54" s="27"/>
      <c r="M54" s="27"/>
      <c r="N54" s="27"/>
      <c r="O54" s="27"/>
      <c r="P54" s="27"/>
      <c r="Q54" s="28"/>
      <c r="R54" s="28"/>
    </row>
    <row r="55" spans="1:18" ht="30.75" customHeight="1" thickBot="1">
      <c r="A55" s="180" t="s">
        <v>68</v>
      </c>
      <c r="B55" s="171" t="s">
        <v>5</v>
      </c>
      <c r="C55" s="202">
        <f>25000/1.18</f>
        <v>21186.440677966104</v>
      </c>
      <c r="D55" s="398">
        <v>1.5</v>
      </c>
      <c r="E55" s="430"/>
      <c r="F55" s="414" t="s">
        <v>71</v>
      </c>
      <c r="G55" s="158">
        <f>C55</f>
        <v>21186.440677966104</v>
      </c>
      <c r="H55" s="146"/>
      <c r="I55" s="52"/>
      <c r="J55" s="59"/>
      <c r="L55" s="27"/>
      <c r="M55" s="27"/>
      <c r="N55" s="27"/>
      <c r="O55" s="27"/>
      <c r="P55" s="27"/>
      <c r="Q55" s="28"/>
      <c r="R55" s="28"/>
    </row>
    <row r="56" spans="1:18" ht="21" customHeight="1" thickBot="1">
      <c r="A56" s="203" t="s">
        <v>69</v>
      </c>
      <c r="B56" s="204" t="s">
        <v>245</v>
      </c>
      <c r="C56" s="199">
        <f>C55*18%</f>
        <v>3813.5593220338988</v>
      </c>
      <c r="D56" s="442"/>
      <c r="E56" s="421"/>
      <c r="F56" s="414"/>
      <c r="G56" s="146"/>
      <c r="H56" s="146"/>
      <c r="I56" s="51"/>
      <c r="J56" s="60"/>
      <c r="L56" s="27"/>
      <c r="M56" s="27"/>
      <c r="N56" s="27"/>
      <c r="O56" s="27"/>
      <c r="P56" s="27"/>
      <c r="Q56" s="28"/>
      <c r="R56" s="28"/>
    </row>
    <row r="57" spans="1:18" ht="36.75" customHeight="1" thickBot="1">
      <c r="A57" s="205" t="s">
        <v>70</v>
      </c>
      <c r="B57" s="129" t="s">
        <v>7</v>
      </c>
      <c r="C57" s="206">
        <v>0</v>
      </c>
      <c r="D57" s="399"/>
      <c r="E57" s="431"/>
      <c r="F57" s="207"/>
      <c r="G57" s="146"/>
      <c r="H57" s="146"/>
      <c r="I57" s="51"/>
      <c r="J57" s="59"/>
      <c r="L57" s="27"/>
      <c r="M57" s="27"/>
      <c r="N57" s="27"/>
      <c r="O57" s="27"/>
      <c r="P57" s="27"/>
      <c r="Q57" s="28"/>
      <c r="R57" s="28"/>
    </row>
    <row r="58" spans="1:18" ht="21" customHeight="1">
      <c r="A58" s="201"/>
      <c r="B58" s="193"/>
      <c r="C58" s="151"/>
      <c r="D58" s="151"/>
      <c r="E58" s="165"/>
      <c r="G58" s="146"/>
      <c r="H58" s="146"/>
      <c r="I58" s="51"/>
      <c r="J58" s="59"/>
      <c r="L58" s="27"/>
      <c r="M58" s="27"/>
      <c r="N58" s="27"/>
      <c r="O58" s="27"/>
      <c r="P58" s="27"/>
      <c r="Q58" s="28"/>
      <c r="R58" s="28"/>
    </row>
    <row r="59" spans="1:18" ht="21" customHeight="1" thickBot="1">
      <c r="A59" s="200" t="s">
        <v>78</v>
      </c>
      <c r="B59" s="200"/>
      <c r="C59" s="200"/>
      <c r="D59" s="200"/>
      <c r="E59" s="200"/>
      <c r="F59" s="200"/>
      <c r="G59" s="146"/>
      <c r="H59" s="146"/>
      <c r="I59" s="53"/>
      <c r="J59" s="61"/>
      <c r="K59" s="69"/>
      <c r="L59" s="27"/>
      <c r="M59" s="27"/>
      <c r="N59" s="27"/>
      <c r="O59" s="27"/>
      <c r="P59" s="27"/>
      <c r="Q59" s="28"/>
      <c r="R59" s="28"/>
    </row>
    <row r="60" spans="1:18" ht="37.5" customHeight="1" thickBot="1">
      <c r="A60" s="190" t="s">
        <v>0</v>
      </c>
      <c r="B60" s="190" t="s">
        <v>1</v>
      </c>
      <c r="C60" s="208" t="s">
        <v>2</v>
      </c>
      <c r="D60" s="143" t="s">
        <v>3</v>
      </c>
      <c r="E60" s="144" t="s">
        <v>4</v>
      </c>
      <c r="F60" s="194" t="s">
        <v>25</v>
      </c>
      <c r="G60" s="146"/>
      <c r="H60" s="146"/>
      <c r="I60" s="51"/>
      <c r="J60" s="59"/>
      <c r="L60" s="27"/>
      <c r="M60" s="27"/>
      <c r="N60" s="27"/>
      <c r="O60" s="27"/>
      <c r="P60" s="27"/>
      <c r="Q60" s="28"/>
      <c r="R60" s="28"/>
    </row>
    <row r="61" spans="1:18" ht="29.25" customHeight="1">
      <c r="A61" s="209" t="s">
        <v>72</v>
      </c>
      <c r="B61" s="210" t="s">
        <v>5</v>
      </c>
      <c r="C61" s="211">
        <f>30000/1.18</f>
        <v>25423.728813559323</v>
      </c>
      <c r="D61" s="398">
        <v>0.5</v>
      </c>
      <c r="E61" s="212"/>
      <c r="F61" s="414" t="s">
        <v>79</v>
      </c>
      <c r="G61" s="158">
        <f>C61</f>
        <v>25423.728813559323</v>
      </c>
      <c r="H61" s="146"/>
      <c r="I61" s="52"/>
      <c r="J61" s="59"/>
      <c r="L61" s="27"/>
      <c r="M61" s="27"/>
      <c r="N61" s="27"/>
      <c r="O61" s="27"/>
      <c r="P61" s="27"/>
      <c r="Q61" s="28"/>
      <c r="R61" s="28"/>
    </row>
    <row r="62" spans="1:18" ht="21" customHeight="1" thickBot="1">
      <c r="A62" s="159" t="s">
        <v>73</v>
      </c>
      <c r="B62" s="213" t="s">
        <v>245</v>
      </c>
      <c r="C62" s="214">
        <f>C61*18%</f>
        <v>4576.2711864406783</v>
      </c>
      <c r="D62" s="399"/>
      <c r="E62" s="215"/>
      <c r="F62" s="414"/>
      <c r="G62" s="146"/>
      <c r="H62" s="146"/>
      <c r="I62" s="51"/>
      <c r="J62" s="60"/>
      <c r="L62" s="27"/>
      <c r="M62" s="27"/>
      <c r="N62" s="27"/>
      <c r="O62" s="27"/>
      <c r="P62" s="27"/>
      <c r="Q62" s="28"/>
      <c r="R62" s="28"/>
    </row>
    <row r="63" spans="1:18" ht="51.75" customHeight="1">
      <c r="A63" s="209" t="s">
        <v>74</v>
      </c>
      <c r="B63" s="210" t="s">
        <v>5</v>
      </c>
      <c r="C63" s="211">
        <f>10000/1.18</f>
        <v>8474.5762711864409</v>
      </c>
      <c r="D63" s="398">
        <v>0.5</v>
      </c>
      <c r="E63" s="430"/>
      <c r="F63" s="414" t="s">
        <v>79</v>
      </c>
      <c r="G63" s="158">
        <f>C63</f>
        <v>8474.5762711864409</v>
      </c>
      <c r="H63" s="146"/>
      <c r="I63" s="52"/>
      <c r="J63" s="59"/>
      <c r="L63" s="27"/>
      <c r="M63" s="27"/>
      <c r="N63" s="27"/>
      <c r="O63" s="27"/>
      <c r="P63" s="27"/>
      <c r="Q63" s="28"/>
      <c r="R63" s="28"/>
    </row>
    <row r="64" spans="1:18" ht="21" customHeight="1" thickBot="1">
      <c r="A64" s="159" t="s">
        <v>75</v>
      </c>
      <c r="B64" s="213" t="s">
        <v>245</v>
      </c>
      <c r="C64" s="214">
        <f>C63*18%</f>
        <v>1525.4237288135594</v>
      </c>
      <c r="D64" s="399"/>
      <c r="E64" s="431"/>
      <c r="F64" s="414"/>
      <c r="G64" s="146"/>
      <c r="H64" s="146"/>
      <c r="I64" s="51"/>
      <c r="J64" s="60"/>
      <c r="L64" s="27"/>
      <c r="M64" s="27"/>
      <c r="N64" s="27"/>
      <c r="O64" s="27"/>
      <c r="P64" s="27"/>
      <c r="Q64" s="28"/>
      <c r="R64" s="28"/>
    </row>
    <row r="65" spans="1:18" ht="33.75" customHeight="1">
      <c r="A65" s="209" t="s">
        <v>76</v>
      </c>
      <c r="B65" s="210" t="s">
        <v>5</v>
      </c>
      <c r="C65" s="211">
        <v>20000</v>
      </c>
      <c r="D65" s="398">
        <v>0.5</v>
      </c>
      <c r="E65" s="212"/>
      <c r="F65" s="415" t="s">
        <v>215</v>
      </c>
      <c r="G65" s="146"/>
      <c r="H65" s="146"/>
      <c r="I65" s="52">
        <f>C65</f>
        <v>20000</v>
      </c>
      <c r="J65" s="59"/>
      <c r="L65" s="27"/>
      <c r="M65" s="27"/>
      <c r="N65" s="27"/>
      <c r="O65" s="27"/>
      <c r="P65" s="27"/>
      <c r="Q65" s="28"/>
      <c r="R65" s="28"/>
    </row>
    <row r="66" spans="1:18" ht="25.5" thickBot="1">
      <c r="A66" s="159" t="s">
        <v>77</v>
      </c>
      <c r="B66" s="216" t="s">
        <v>245</v>
      </c>
      <c r="C66" s="217">
        <f>C65*0</f>
        <v>0</v>
      </c>
      <c r="D66" s="399"/>
      <c r="E66" s="215"/>
      <c r="F66" s="415"/>
      <c r="G66" s="146"/>
      <c r="H66" s="146"/>
      <c r="I66" s="51"/>
      <c r="J66" s="59"/>
      <c r="K66" s="65"/>
      <c r="L66" s="27"/>
      <c r="M66" s="27"/>
      <c r="N66" s="27"/>
      <c r="O66" s="27"/>
      <c r="P66" s="27"/>
      <c r="Q66" s="28"/>
      <c r="R66" s="28"/>
    </row>
    <row r="67" spans="1:18" ht="21" customHeight="1">
      <c r="A67" s="201"/>
      <c r="B67" s="193"/>
      <c r="C67" s="151"/>
      <c r="D67" s="151"/>
      <c r="E67" s="165"/>
      <c r="G67" s="146"/>
      <c r="H67" s="146"/>
      <c r="I67" s="51"/>
      <c r="J67" s="59"/>
      <c r="L67" s="27"/>
      <c r="M67" s="27"/>
      <c r="N67" s="27"/>
      <c r="O67" s="27"/>
      <c r="P67" s="27"/>
      <c r="Q67" s="28"/>
      <c r="R67" s="28"/>
    </row>
    <row r="68" spans="1:18" ht="21" customHeight="1" thickBot="1">
      <c r="A68" s="410" t="s">
        <v>97</v>
      </c>
      <c r="B68" s="410"/>
      <c r="C68" s="410"/>
      <c r="D68" s="410"/>
      <c r="E68" s="410"/>
      <c r="F68" s="410"/>
      <c r="G68" s="146"/>
      <c r="H68" s="146"/>
      <c r="I68" s="51"/>
      <c r="J68" s="59"/>
      <c r="L68" s="27"/>
      <c r="M68" s="27"/>
      <c r="N68" s="27"/>
      <c r="O68" s="27"/>
      <c r="P68" s="27"/>
      <c r="Q68" s="28"/>
      <c r="R68" s="28"/>
    </row>
    <row r="69" spans="1:18" ht="29.25" customHeight="1" thickTop="1" thickBot="1">
      <c r="A69" s="218" t="s">
        <v>0</v>
      </c>
      <c r="B69" s="142" t="s">
        <v>1</v>
      </c>
      <c r="C69" s="142" t="s">
        <v>2</v>
      </c>
      <c r="D69" s="219" t="s">
        <v>3</v>
      </c>
      <c r="E69" s="220" t="s">
        <v>4</v>
      </c>
      <c r="F69" s="194" t="s">
        <v>25</v>
      </c>
      <c r="G69" s="146"/>
      <c r="H69" s="146"/>
      <c r="I69" s="51"/>
      <c r="J69" s="59"/>
      <c r="L69" s="27"/>
      <c r="M69" s="27"/>
      <c r="N69" s="27"/>
      <c r="O69" s="27"/>
      <c r="P69" s="27"/>
      <c r="Q69" s="28"/>
      <c r="R69" s="28"/>
    </row>
    <row r="70" spans="1:18" ht="25.5" customHeight="1" thickBot="1">
      <c r="A70" s="418" t="s">
        <v>230</v>
      </c>
      <c r="B70" s="221" t="s">
        <v>5</v>
      </c>
      <c r="C70" s="222">
        <f>10000/1.18*1.7</f>
        <v>14406.77966101695</v>
      </c>
      <c r="D70" s="223">
        <v>0.5</v>
      </c>
      <c r="E70" s="437"/>
      <c r="F70" s="415" t="s">
        <v>126</v>
      </c>
      <c r="G70" s="224">
        <f>C70</f>
        <v>14406.77966101695</v>
      </c>
      <c r="H70" s="146"/>
      <c r="I70" s="54"/>
      <c r="J70" s="59"/>
      <c r="L70" s="27"/>
      <c r="M70" s="27"/>
      <c r="N70" s="27"/>
      <c r="O70" s="27"/>
      <c r="P70" s="27"/>
      <c r="Q70" s="28"/>
      <c r="R70" s="28"/>
    </row>
    <row r="71" spans="1:18" ht="27" customHeight="1" thickBot="1">
      <c r="A71" s="419"/>
      <c r="B71" s="225" t="s">
        <v>6</v>
      </c>
      <c r="C71" s="226">
        <f>C70*18%</f>
        <v>2593.2203389830511</v>
      </c>
      <c r="D71" s="227">
        <v>0.5</v>
      </c>
      <c r="E71" s="438"/>
      <c r="F71" s="415"/>
      <c r="G71" s="146"/>
      <c r="H71" s="146"/>
      <c r="I71" s="51"/>
      <c r="J71" s="62"/>
      <c r="L71" s="27"/>
      <c r="M71" s="27"/>
      <c r="N71" s="27"/>
      <c r="O71" s="27"/>
      <c r="P71" s="27"/>
      <c r="Q71" s="28"/>
      <c r="R71" s="28"/>
    </row>
    <row r="72" spans="1:18" ht="18" customHeight="1">
      <c r="A72" s="228"/>
      <c r="B72" s="229"/>
      <c r="C72" s="230"/>
      <c r="D72" s="228"/>
      <c r="E72" s="231"/>
      <c r="F72" s="130"/>
      <c r="G72" s="146"/>
      <c r="H72" s="146"/>
      <c r="I72" s="51"/>
      <c r="J72" s="59"/>
      <c r="L72" s="27"/>
      <c r="M72" s="27"/>
      <c r="N72" s="27"/>
      <c r="O72" s="27"/>
      <c r="P72" s="27"/>
      <c r="Q72" s="28"/>
      <c r="R72" s="28"/>
    </row>
    <row r="73" spans="1:18" ht="18" customHeight="1" thickBot="1">
      <c r="A73" s="228" t="s">
        <v>147</v>
      </c>
      <c r="B73" s="229"/>
      <c r="C73" s="230"/>
      <c r="D73" s="228"/>
      <c r="E73" s="231"/>
      <c r="F73" s="130"/>
      <c r="G73" s="146"/>
      <c r="H73" s="146"/>
      <c r="I73" s="51"/>
      <c r="J73" s="59"/>
      <c r="L73" s="27"/>
      <c r="M73" s="27"/>
      <c r="N73" s="27"/>
      <c r="O73" s="27"/>
      <c r="P73" s="27"/>
      <c r="Q73" s="28"/>
      <c r="R73" s="28"/>
    </row>
    <row r="74" spans="1:18" ht="31.5" customHeight="1" thickTop="1" thickBot="1">
      <c r="A74" s="232" t="s">
        <v>0</v>
      </c>
      <c r="B74" s="186" t="s">
        <v>1</v>
      </c>
      <c r="C74" s="142" t="s">
        <v>2</v>
      </c>
      <c r="D74" s="219" t="s">
        <v>3</v>
      </c>
      <c r="E74" s="220" t="s">
        <v>4</v>
      </c>
      <c r="F74" s="194" t="s">
        <v>25</v>
      </c>
      <c r="G74" s="146"/>
      <c r="H74" s="146"/>
      <c r="I74" s="51"/>
      <c r="J74" s="59"/>
      <c r="L74" s="27"/>
      <c r="M74" s="27"/>
      <c r="N74" s="27"/>
      <c r="O74" s="27"/>
      <c r="P74" s="27"/>
      <c r="Q74" s="28"/>
      <c r="R74" s="28"/>
    </row>
    <row r="75" spans="1:18" ht="37.5" customHeight="1" thickBot="1">
      <c r="A75" s="233" t="s">
        <v>149</v>
      </c>
      <c r="B75" s="234" t="s">
        <v>148</v>
      </c>
      <c r="C75" s="222">
        <f>5000*1.5*4.9*0.12/100%</f>
        <v>4410</v>
      </c>
      <c r="D75" s="223">
        <v>0.5</v>
      </c>
      <c r="E75" s="437"/>
      <c r="F75" s="235" t="s">
        <v>145</v>
      </c>
      <c r="G75" s="146"/>
      <c r="H75" s="146"/>
      <c r="I75" s="51"/>
      <c r="J75" s="59"/>
      <c r="L75" s="27"/>
      <c r="M75" s="27"/>
      <c r="N75" s="27"/>
      <c r="O75" s="27"/>
      <c r="P75" s="27"/>
      <c r="Q75" s="28"/>
      <c r="R75" s="28"/>
    </row>
    <row r="76" spans="1:18" ht="37.5" customHeight="1" thickBot="1">
      <c r="A76" s="236" t="s">
        <v>166</v>
      </c>
      <c r="B76" s="234" t="s">
        <v>5</v>
      </c>
      <c r="C76" s="222">
        <f>5000*4+C75</f>
        <v>24410</v>
      </c>
      <c r="D76" s="223">
        <v>0.5</v>
      </c>
      <c r="E76" s="455"/>
      <c r="F76" s="235" t="s">
        <v>146</v>
      </c>
      <c r="G76" s="224">
        <f>C76</f>
        <v>24410</v>
      </c>
      <c r="H76" s="146"/>
      <c r="I76" s="54"/>
      <c r="J76" s="59"/>
      <c r="L76" s="27"/>
      <c r="M76" s="27"/>
      <c r="N76" s="27"/>
      <c r="O76" s="27"/>
      <c r="P76" s="27"/>
      <c r="Q76" s="28"/>
      <c r="R76" s="28"/>
    </row>
    <row r="77" spans="1:18" ht="30" customHeight="1" thickBot="1">
      <c r="A77" s="233" t="s">
        <v>150</v>
      </c>
      <c r="B77" s="237" t="s">
        <v>6</v>
      </c>
      <c r="C77" s="238">
        <f>C76*18%</f>
        <v>4393.8</v>
      </c>
      <c r="D77" s="227">
        <v>0.5</v>
      </c>
      <c r="E77" s="438"/>
      <c r="F77" s="235" t="s">
        <v>79</v>
      </c>
      <c r="G77" s="146"/>
      <c r="H77" s="146"/>
      <c r="I77" s="51"/>
      <c r="J77" s="60"/>
      <c r="L77" s="27"/>
      <c r="M77" s="27"/>
      <c r="N77" s="27"/>
      <c r="O77" s="27"/>
      <c r="P77" s="27"/>
      <c r="Q77" s="28"/>
      <c r="R77" s="28"/>
    </row>
    <row r="78" spans="1:18" ht="18" customHeight="1">
      <c r="A78" s="228"/>
      <c r="B78" s="229"/>
      <c r="C78" s="230"/>
      <c r="D78" s="228"/>
      <c r="E78" s="231"/>
      <c r="F78" s="132"/>
      <c r="G78" s="146"/>
      <c r="H78" s="146"/>
      <c r="I78" s="51"/>
      <c r="J78" s="59"/>
      <c r="L78" s="27"/>
      <c r="M78" s="27"/>
      <c r="N78" s="27"/>
      <c r="O78" s="27"/>
      <c r="P78" s="27"/>
      <c r="Q78" s="28"/>
      <c r="R78" s="28"/>
    </row>
    <row r="79" spans="1:18" ht="18" customHeight="1" thickBot="1">
      <c r="A79" s="228" t="s">
        <v>160</v>
      </c>
      <c r="B79" s="229"/>
      <c r="C79" s="230"/>
      <c r="D79" s="228"/>
      <c r="E79" s="231"/>
      <c r="F79" s="132"/>
      <c r="G79" s="146"/>
      <c r="H79" s="146"/>
      <c r="I79" s="51"/>
      <c r="J79" s="59"/>
      <c r="L79" s="27"/>
      <c r="M79" s="27"/>
      <c r="N79" s="27"/>
      <c r="O79" s="27"/>
      <c r="P79" s="27"/>
      <c r="Q79" s="28"/>
      <c r="R79" s="28"/>
    </row>
    <row r="80" spans="1:18" ht="31.5" customHeight="1" thickTop="1" thickBot="1">
      <c r="A80" s="186" t="s">
        <v>0</v>
      </c>
      <c r="B80" s="186" t="s">
        <v>1</v>
      </c>
      <c r="C80" s="142" t="s">
        <v>2</v>
      </c>
      <c r="D80" s="219" t="s">
        <v>3</v>
      </c>
      <c r="E80" s="220" t="s">
        <v>4</v>
      </c>
      <c r="F80" s="194" t="s">
        <v>25</v>
      </c>
      <c r="G80" s="146"/>
      <c r="H80" s="146"/>
      <c r="I80" s="51"/>
      <c r="J80" s="59"/>
      <c r="L80" s="27"/>
      <c r="M80" s="27"/>
      <c r="N80" s="27"/>
      <c r="O80" s="27"/>
      <c r="P80" s="27"/>
      <c r="Q80" s="28"/>
      <c r="R80" s="28"/>
    </row>
    <row r="81" spans="1:18" ht="50.25" customHeight="1" thickBot="1">
      <c r="A81" s="233" t="s">
        <v>172</v>
      </c>
      <c r="B81" s="234" t="s">
        <v>5</v>
      </c>
      <c r="C81" s="239">
        <f>(167000-17000-50000)/1.18</f>
        <v>84745.762711864416</v>
      </c>
      <c r="D81" s="240">
        <v>0.5</v>
      </c>
      <c r="E81" s="450"/>
      <c r="F81" s="415" t="s">
        <v>171</v>
      </c>
      <c r="G81" s="158">
        <f>C81</f>
        <v>84745.762711864416</v>
      </c>
      <c r="H81" s="146"/>
      <c r="I81" s="52"/>
      <c r="J81" s="59"/>
      <c r="L81" s="27"/>
      <c r="M81" s="27"/>
      <c r="N81" s="27"/>
      <c r="O81" s="27"/>
      <c r="P81" s="27"/>
      <c r="Q81" s="28"/>
      <c r="R81" s="28"/>
    </row>
    <row r="82" spans="1:18" ht="15.75" thickBot="1">
      <c r="A82" s="241" t="s">
        <v>161</v>
      </c>
      <c r="B82" s="237" t="s">
        <v>6</v>
      </c>
      <c r="C82" s="239">
        <f>C81*18%</f>
        <v>15254.237288135595</v>
      </c>
      <c r="D82" s="240">
        <v>0.5</v>
      </c>
      <c r="E82" s="451"/>
      <c r="F82" s="415"/>
      <c r="G82" s="146"/>
      <c r="H82" s="146"/>
      <c r="I82" s="51"/>
      <c r="J82" s="60"/>
      <c r="L82" s="27"/>
      <c r="M82" s="27"/>
      <c r="N82" s="27"/>
      <c r="O82" s="27"/>
      <c r="P82" s="27"/>
      <c r="Q82" s="28"/>
      <c r="R82" s="28"/>
    </row>
    <row r="83" spans="1:18" ht="66.75" customHeight="1" thickBot="1">
      <c r="A83" s="242" t="s">
        <v>167</v>
      </c>
      <c r="B83" s="234" t="s">
        <v>163</v>
      </c>
      <c r="C83" s="226">
        <v>50000</v>
      </c>
      <c r="D83" s="243">
        <v>0.5</v>
      </c>
      <c r="E83" s="451"/>
      <c r="F83" s="415" t="s">
        <v>169</v>
      </c>
      <c r="G83" s="146"/>
      <c r="H83" s="146"/>
      <c r="I83" s="54">
        <f>C83</f>
        <v>50000</v>
      </c>
      <c r="J83" s="59"/>
      <c r="L83" s="27"/>
      <c r="M83" s="27"/>
      <c r="N83" s="27"/>
      <c r="O83" s="27"/>
      <c r="P83" s="27"/>
      <c r="Q83" s="28"/>
      <c r="R83" s="28"/>
    </row>
    <row r="84" spans="1:18" ht="33" customHeight="1" thickBot="1">
      <c r="A84" s="244" t="s">
        <v>162</v>
      </c>
      <c r="B84" s="237" t="s">
        <v>6</v>
      </c>
      <c r="C84" s="222">
        <f>C83*0%</f>
        <v>0</v>
      </c>
      <c r="D84" s="240">
        <v>0.5</v>
      </c>
      <c r="E84" s="451"/>
      <c r="F84" s="415"/>
      <c r="G84" s="146"/>
      <c r="H84" s="146"/>
      <c r="I84" s="51"/>
      <c r="J84" s="59"/>
      <c r="L84" s="27"/>
      <c r="M84" s="27"/>
      <c r="N84" s="27"/>
      <c r="O84" s="27"/>
      <c r="P84" s="27"/>
      <c r="Q84" s="28"/>
      <c r="R84" s="28"/>
    </row>
    <row r="85" spans="1:18" ht="60.75" customHeight="1" thickBot="1">
      <c r="A85" s="245" t="s">
        <v>168</v>
      </c>
      <c r="B85" s="234" t="s">
        <v>164</v>
      </c>
      <c r="C85" s="226">
        <v>17000</v>
      </c>
      <c r="D85" s="243">
        <v>0.5</v>
      </c>
      <c r="E85" s="451"/>
      <c r="F85" s="415" t="s">
        <v>170</v>
      </c>
      <c r="G85" s="146"/>
      <c r="H85" s="146"/>
      <c r="I85" s="51"/>
      <c r="J85" s="62">
        <f>C85</f>
        <v>17000</v>
      </c>
      <c r="L85" s="27"/>
      <c r="M85" s="27"/>
      <c r="N85" s="27"/>
      <c r="O85" s="27"/>
      <c r="P85" s="27"/>
      <c r="Q85" s="28"/>
      <c r="R85" s="28"/>
    </row>
    <row r="86" spans="1:18" ht="30.75" thickBot="1">
      <c r="A86" s="233" t="s">
        <v>182</v>
      </c>
      <c r="B86" s="237" t="s">
        <v>6</v>
      </c>
      <c r="C86" s="239" t="s">
        <v>165</v>
      </c>
      <c r="D86" s="240">
        <v>0.5</v>
      </c>
      <c r="E86" s="452"/>
      <c r="F86" s="415"/>
      <c r="G86" s="146"/>
      <c r="H86" s="146"/>
      <c r="I86" s="51"/>
      <c r="J86" s="59"/>
      <c r="L86" s="27"/>
      <c r="M86" s="27"/>
      <c r="N86" s="27"/>
      <c r="O86" s="27"/>
      <c r="P86" s="27"/>
      <c r="Q86" s="28"/>
      <c r="R86" s="28"/>
    </row>
    <row r="87" spans="1:18">
      <c r="A87" s="231"/>
      <c r="B87" s="229"/>
      <c r="C87" s="230"/>
      <c r="D87" s="228"/>
      <c r="E87" s="228"/>
      <c r="F87" s="130"/>
      <c r="G87" s="146"/>
      <c r="H87" s="146"/>
      <c r="I87" s="51"/>
      <c r="J87" s="59"/>
      <c r="L87" s="27"/>
      <c r="M87" s="27"/>
      <c r="N87" s="27"/>
      <c r="O87" s="27"/>
      <c r="P87" s="27"/>
      <c r="Q87" s="28"/>
      <c r="R87" s="28"/>
    </row>
    <row r="88" spans="1:18">
      <c r="A88" s="231"/>
      <c r="B88" s="229"/>
      <c r="C88" s="230"/>
      <c r="D88" s="228"/>
      <c r="E88" s="228"/>
      <c r="F88" s="130"/>
      <c r="G88" s="146"/>
      <c r="H88" s="146"/>
      <c r="I88" s="51"/>
      <c r="J88" s="59"/>
      <c r="L88" s="27"/>
      <c r="M88" s="27"/>
      <c r="N88" s="27"/>
      <c r="O88" s="27"/>
      <c r="P88" s="27"/>
      <c r="Q88" s="28"/>
      <c r="R88" s="28"/>
    </row>
    <row r="89" spans="1:18" ht="15.75" thickBot="1">
      <c r="A89" s="367" t="s">
        <v>180</v>
      </c>
      <c r="B89" s="367"/>
      <c r="C89" s="367"/>
      <c r="D89" s="367"/>
      <c r="E89" s="367"/>
      <c r="G89" s="146"/>
      <c r="H89" s="146"/>
      <c r="I89" s="51"/>
      <c r="J89" s="59"/>
      <c r="L89" s="27"/>
      <c r="M89" s="27"/>
      <c r="N89" s="27"/>
      <c r="O89" s="27"/>
      <c r="P89" s="27"/>
      <c r="Q89" s="28"/>
      <c r="R89" s="28"/>
    </row>
    <row r="90" spans="1:18" ht="27" thickTop="1" thickBot="1">
      <c r="A90" s="166" t="s">
        <v>0</v>
      </c>
      <c r="B90" s="167" t="s">
        <v>1</v>
      </c>
      <c r="C90" s="168" t="s">
        <v>2</v>
      </c>
      <c r="D90" s="169" t="s">
        <v>3</v>
      </c>
      <c r="E90" s="170" t="s">
        <v>4</v>
      </c>
      <c r="F90" s="195" t="s">
        <v>25</v>
      </c>
      <c r="G90" s="146"/>
      <c r="H90" s="146"/>
      <c r="I90" s="51"/>
      <c r="J90" s="59"/>
      <c r="L90" s="27"/>
      <c r="M90" s="27"/>
      <c r="N90" s="27"/>
      <c r="O90" s="27"/>
      <c r="P90" s="27"/>
      <c r="Q90" s="28"/>
      <c r="R90" s="28"/>
    </row>
    <row r="91" spans="1:18" ht="26.25" customHeight="1" thickBot="1">
      <c r="A91" s="432" t="s">
        <v>216</v>
      </c>
      <c r="B91" s="171" t="s">
        <v>5</v>
      </c>
      <c r="C91" s="173">
        <v>0</v>
      </c>
      <c r="D91" s="173">
        <v>0.5</v>
      </c>
      <c r="E91" s="362"/>
      <c r="F91" s="415" t="s">
        <v>181</v>
      </c>
      <c r="G91" s="146"/>
      <c r="H91" s="146"/>
      <c r="I91" s="51"/>
      <c r="J91" s="59"/>
      <c r="L91" s="27"/>
      <c r="M91" s="27"/>
      <c r="N91" s="27"/>
      <c r="O91" s="27"/>
      <c r="P91" s="27"/>
      <c r="Q91" s="28"/>
      <c r="R91" s="28"/>
    </row>
    <row r="92" spans="1:18" ht="32.25" customHeight="1" thickBot="1">
      <c r="A92" s="433"/>
      <c r="B92" s="171" t="s">
        <v>6</v>
      </c>
      <c r="C92" s="173">
        <f>C323</f>
        <v>0</v>
      </c>
      <c r="D92" s="173">
        <v>0.5</v>
      </c>
      <c r="E92" s="363"/>
      <c r="F92" s="415"/>
      <c r="G92" s="146"/>
      <c r="H92" s="146"/>
      <c r="I92" s="51"/>
      <c r="J92" s="59"/>
      <c r="L92" s="27"/>
      <c r="M92" s="27"/>
      <c r="N92" s="27"/>
      <c r="O92" s="27"/>
      <c r="P92" s="27"/>
      <c r="Q92" s="28"/>
      <c r="R92" s="28"/>
    </row>
    <row r="93" spans="1:18">
      <c r="A93" s="231"/>
      <c r="B93" s="229"/>
      <c r="C93" s="230"/>
      <c r="D93" s="228"/>
      <c r="E93" s="228"/>
      <c r="F93" s="130"/>
      <c r="G93" s="146"/>
      <c r="H93" s="146"/>
      <c r="I93" s="51"/>
      <c r="J93" s="59"/>
      <c r="L93" s="27"/>
      <c r="M93" s="27"/>
      <c r="N93" s="27"/>
      <c r="O93" s="27"/>
      <c r="P93" s="27"/>
      <c r="Q93" s="28"/>
      <c r="R93" s="28"/>
    </row>
    <row r="94" spans="1:18" ht="21" customHeight="1">
      <c r="A94" s="375" t="s">
        <v>80</v>
      </c>
      <c r="B94" s="375"/>
      <c r="C94" s="375"/>
      <c r="D94" s="375"/>
      <c r="E94" s="375"/>
      <c r="F94" s="375"/>
      <c r="G94" s="146"/>
      <c r="H94" s="146"/>
      <c r="I94" s="51"/>
      <c r="J94" s="59"/>
      <c r="L94" s="27"/>
      <c r="M94" s="27"/>
      <c r="N94" s="27"/>
      <c r="O94" s="27"/>
      <c r="P94" s="27"/>
      <c r="Q94" s="28"/>
      <c r="R94" s="28"/>
    </row>
    <row r="95" spans="1:18" ht="21" customHeight="1" thickBot="1">
      <c r="A95" s="367" t="s">
        <v>92</v>
      </c>
      <c r="B95" s="367"/>
      <c r="C95" s="367"/>
      <c r="D95" s="367"/>
      <c r="E95" s="367"/>
      <c r="G95" s="146"/>
      <c r="H95" s="146"/>
      <c r="I95" s="51"/>
      <c r="J95" s="59"/>
      <c r="L95" s="27"/>
      <c r="M95" s="27"/>
      <c r="N95" s="27"/>
      <c r="O95" s="27"/>
      <c r="P95" s="27"/>
      <c r="Q95" s="28"/>
      <c r="R95" s="28"/>
    </row>
    <row r="96" spans="1:18" ht="26.25" customHeight="1" thickTop="1" thickBot="1">
      <c r="A96" s="166" t="s">
        <v>0</v>
      </c>
      <c r="B96" s="167" t="s">
        <v>1</v>
      </c>
      <c r="C96" s="168" t="s">
        <v>2</v>
      </c>
      <c r="D96" s="169" t="s">
        <v>3</v>
      </c>
      <c r="E96" s="170" t="s">
        <v>4</v>
      </c>
      <c r="F96" s="194" t="s">
        <v>25</v>
      </c>
      <c r="G96" s="146"/>
      <c r="H96" s="146"/>
      <c r="I96" s="51"/>
      <c r="J96" s="59"/>
      <c r="L96" s="27"/>
      <c r="M96" s="27"/>
      <c r="N96" s="27"/>
      <c r="O96" s="27"/>
      <c r="P96" s="27"/>
      <c r="Q96" s="28"/>
      <c r="R96" s="28"/>
    </row>
    <row r="97" spans="1:18" ht="42.75" customHeight="1" thickBot="1">
      <c r="A97" s="360" t="s">
        <v>81</v>
      </c>
      <c r="B97" s="171" t="s">
        <v>5</v>
      </c>
      <c r="C97" s="173">
        <f>10000*1.3</f>
        <v>13000</v>
      </c>
      <c r="D97" s="173">
        <v>0.5</v>
      </c>
      <c r="E97" s="362"/>
      <c r="F97" s="415" t="s">
        <v>251</v>
      </c>
      <c r="G97" s="146"/>
      <c r="H97" s="146"/>
      <c r="I97" s="51">
        <f>C97</f>
        <v>13000</v>
      </c>
      <c r="J97" s="59"/>
      <c r="L97" s="27"/>
      <c r="M97" s="27"/>
      <c r="N97" s="27"/>
      <c r="O97" s="27"/>
      <c r="P97" s="27"/>
      <c r="Q97" s="28"/>
      <c r="R97" s="28"/>
    </row>
    <row r="98" spans="1:18" ht="33.75" customHeight="1" thickBot="1">
      <c r="A98" s="361"/>
      <c r="B98" s="171" t="s">
        <v>6</v>
      </c>
      <c r="C98" s="173">
        <f>C338</f>
        <v>0</v>
      </c>
      <c r="D98" s="173">
        <v>0.5</v>
      </c>
      <c r="E98" s="363"/>
      <c r="F98" s="415"/>
      <c r="G98" s="146"/>
      <c r="H98" s="146"/>
      <c r="I98" s="51"/>
      <c r="J98" s="59"/>
      <c r="L98" s="27"/>
      <c r="M98" s="27"/>
      <c r="N98" s="27"/>
      <c r="O98" s="27"/>
      <c r="P98" s="27"/>
      <c r="Q98" s="28"/>
      <c r="R98" s="28"/>
    </row>
    <row r="99" spans="1:18" ht="21" customHeight="1">
      <c r="A99" s="201"/>
      <c r="B99" s="193"/>
      <c r="C99" s="151"/>
      <c r="D99" s="151"/>
      <c r="E99" s="165"/>
      <c r="G99" s="146"/>
      <c r="H99" s="146"/>
      <c r="I99" s="51"/>
      <c r="J99" s="59"/>
      <c r="L99" s="27"/>
      <c r="M99" s="27"/>
      <c r="N99" s="27"/>
      <c r="O99" s="27"/>
      <c r="P99" s="27"/>
      <c r="Q99" s="28"/>
      <c r="R99" s="28"/>
    </row>
    <row r="100" spans="1:18" ht="21" customHeight="1">
      <c r="A100" s="410" t="s">
        <v>82</v>
      </c>
      <c r="B100" s="410"/>
      <c r="C100" s="410"/>
      <c r="D100" s="410"/>
      <c r="E100" s="410"/>
      <c r="F100" s="410"/>
      <c r="G100" s="146"/>
      <c r="H100" s="146"/>
      <c r="I100" s="51"/>
      <c r="J100" s="59"/>
      <c r="L100" s="27"/>
      <c r="M100" s="27"/>
      <c r="N100" s="27"/>
      <c r="O100" s="27"/>
      <c r="P100" s="27"/>
      <c r="Q100" s="28"/>
      <c r="R100" s="28"/>
    </row>
    <row r="101" spans="1:18" ht="14.25" customHeight="1" thickBot="1">
      <c r="A101" s="201"/>
      <c r="B101" s="193"/>
      <c r="C101" s="151"/>
      <c r="D101" s="151"/>
      <c r="E101" s="165"/>
      <c r="G101" s="146"/>
      <c r="H101" s="146"/>
      <c r="I101" s="51"/>
      <c r="J101" s="59"/>
      <c r="L101" s="27"/>
      <c r="M101" s="27"/>
      <c r="N101" s="27"/>
      <c r="O101" s="27"/>
      <c r="P101" s="27"/>
      <c r="Q101" s="28"/>
      <c r="R101" s="28"/>
    </row>
    <row r="102" spans="1:18" ht="27" thickTop="1" thickBot="1">
      <c r="A102" s="166" t="s">
        <v>0</v>
      </c>
      <c r="B102" s="167" t="s">
        <v>1</v>
      </c>
      <c r="C102" s="168" t="s">
        <v>2</v>
      </c>
      <c r="D102" s="169" t="s">
        <v>3</v>
      </c>
      <c r="E102" s="170" t="s">
        <v>4</v>
      </c>
      <c r="F102" s="194" t="s">
        <v>25</v>
      </c>
      <c r="G102" s="146"/>
      <c r="H102" s="146"/>
      <c r="I102" s="51"/>
      <c r="J102" s="59"/>
      <c r="L102" s="27"/>
      <c r="M102" s="27"/>
      <c r="N102" s="27"/>
      <c r="O102" s="27"/>
      <c r="P102" s="27"/>
      <c r="Q102" s="28"/>
      <c r="R102" s="28"/>
    </row>
    <row r="103" spans="1:18" ht="27.75" customHeight="1" thickBot="1">
      <c r="A103" s="360" t="s">
        <v>207</v>
      </c>
      <c r="B103" s="171" t="s">
        <v>5</v>
      </c>
      <c r="C103" s="246">
        <f>(50*10)+(12*150)</f>
        <v>2300</v>
      </c>
      <c r="D103" s="173">
        <v>0.5</v>
      </c>
      <c r="E103" s="362"/>
      <c r="F103" s="415" t="s">
        <v>83</v>
      </c>
      <c r="G103" s="146"/>
      <c r="H103" s="146"/>
      <c r="I103" s="54">
        <f>C103</f>
        <v>2300</v>
      </c>
      <c r="J103" s="59"/>
      <c r="K103" s="70"/>
      <c r="L103" s="27"/>
      <c r="M103" s="27"/>
      <c r="N103" s="27"/>
      <c r="O103" s="27"/>
      <c r="P103" s="27"/>
      <c r="Q103" s="28"/>
      <c r="R103" s="28"/>
    </row>
    <row r="104" spans="1:18" ht="24.75" customHeight="1" thickBot="1">
      <c r="A104" s="361"/>
      <c r="B104" s="171" t="s">
        <v>6</v>
      </c>
      <c r="C104" s="172">
        <f>C103*0%</f>
        <v>0</v>
      </c>
      <c r="D104" s="173">
        <v>0.5</v>
      </c>
      <c r="E104" s="363"/>
      <c r="F104" s="415"/>
      <c r="G104" s="146"/>
      <c r="H104" s="146"/>
      <c r="I104" s="51"/>
      <c r="J104" s="59"/>
      <c r="L104" s="27"/>
      <c r="M104" s="27"/>
      <c r="N104" s="27"/>
      <c r="O104" s="27"/>
      <c r="P104" s="27"/>
      <c r="Q104" s="28"/>
      <c r="R104" s="28"/>
    </row>
    <row r="105" spans="1:18" ht="25.5" customHeight="1" thickBot="1">
      <c r="A105" s="360" t="s">
        <v>206</v>
      </c>
      <c r="B105" s="171" t="s">
        <v>5</v>
      </c>
      <c r="C105" s="246">
        <f>30*50</f>
        <v>1500</v>
      </c>
      <c r="D105" s="173">
        <v>0.5</v>
      </c>
      <c r="E105" s="362"/>
      <c r="F105" s="415" t="s">
        <v>83</v>
      </c>
      <c r="G105" s="146"/>
      <c r="H105" s="146"/>
      <c r="I105" s="54">
        <f>C105</f>
        <v>1500</v>
      </c>
      <c r="J105" s="59"/>
      <c r="L105" s="27"/>
      <c r="M105" s="27"/>
      <c r="N105" s="27"/>
      <c r="O105" s="27"/>
      <c r="P105" s="27"/>
      <c r="Q105" s="28"/>
      <c r="R105" s="28"/>
    </row>
    <row r="106" spans="1:18" ht="23.25" customHeight="1" thickBot="1">
      <c r="A106" s="361"/>
      <c r="B106" s="171" t="s">
        <v>6</v>
      </c>
      <c r="C106" s="172">
        <f>C105*0</f>
        <v>0</v>
      </c>
      <c r="D106" s="173">
        <v>0.5</v>
      </c>
      <c r="E106" s="363"/>
      <c r="F106" s="415"/>
      <c r="G106" s="146"/>
      <c r="H106" s="146"/>
      <c r="I106" s="51"/>
      <c r="J106" s="59"/>
      <c r="K106" s="70"/>
      <c r="L106" s="27"/>
      <c r="M106" s="27"/>
      <c r="N106" s="27"/>
      <c r="O106" s="27"/>
      <c r="P106" s="27"/>
      <c r="Q106" s="28"/>
      <c r="R106" s="28"/>
    </row>
    <row r="107" spans="1:18">
      <c r="A107" s="151"/>
      <c r="B107" s="164"/>
      <c r="C107" s="199"/>
      <c r="D107" s="151"/>
      <c r="E107" s="165"/>
      <c r="F107" s="130"/>
      <c r="G107" s="146"/>
      <c r="H107" s="146"/>
      <c r="I107" s="51"/>
      <c r="J107" s="59"/>
      <c r="L107" s="27"/>
      <c r="M107" s="27"/>
      <c r="N107" s="27"/>
      <c r="O107" s="27"/>
      <c r="P107" s="27"/>
      <c r="Q107" s="28"/>
      <c r="R107" s="28"/>
    </row>
    <row r="108" spans="1:18" ht="19.5" customHeight="1">
      <c r="A108" s="410" t="s">
        <v>84</v>
      </c>
      <c r="B108" s="410"/>
      <c r="C108" s="410"/>
      <c r="D108" s="410"/>
      <c r="E108" s="410"/>
      <c r="F108" s="130"/>
      <c r="G108" s="146"/>
      <c r="H108" s="146"/>
      <c r="I108" s="51"/>
      <c r="J108" s="59"/>
      <c r="L108" s="27"/>
      <c r="M108" s="27"/>
      <c r="N108" s="27"/>
      <c r="O108" s="27"/>
      <c r="P108" s="27"/>
      <c r="Q108" s="28"/>
      <c r="R108" s="28"/>
    </row>
    <row r="109" spans="1:18" s="23" customFormat="1" ht="16.5" customHeight="1" thickBot="1">
      <c r="A109" s="151"/>
      <c r="B109" s="164"/>
      <c r="C109" s="199"/>
      <c r="D109" s="151"/>
      <c r="E109" s="165"/>
      <c r="F109" s="130"/>
      <c r="G109" s="146"/>
      <c r="H109" s="146"/>
      <c r="I109" s="51"/>
      <c r="J109" s="59"/>
      <c r="K109" s="71"/>
      <c r="L109" s="28"/>
      <c r="M109" s="28"/>
      <c r="N109" s="28"/>
      <c r="O109" s="28"/>
      <c r="P109" s="28"/>
      <c r="Q109" s="28"/>
      <c r="R109" s="28"/>
    </row>
    <row r="110" spans="1:18" s="23" customFormat="1" ht="29.25" customHeight="1" thickTop="1" thickBot="1">
      <c r="A110" s="218" t="s">
        <v>0</v>
      </c>
      <c r="B110" s="142" t="s">
        <v>1</v>
      </c>
      <c r="C110" s="142" t="s">
        <v>2</v>
      </c>
      <c r="D110" s="219" t="s">
        <v>3</v>
      </c>
      <c r="E110" s="220" t="s">
        <v>4</v>
      </c>
      <c r="F110" s="194" t="s">
        <v>25</v>
      </c>
      <c r="G110" s="146"/>
      <c r="H110" s="146"/>
      <c r="I110" s="51"/>
      <c r="J110" s="59"/>
      <c r="K110" s="71"/>
      <c r="L110" s="28"/>
      <c r="M110" s="28"/>
      <c r="N110" s="28"/>
      <c r="O110" s="28"/>
      <c r="P110" s="28"/>
      <c r="Q110" s="28"/>
      <c r="R110" s="28"/>
    </row>
    <row r="111" spans="1:18" ht="20.25" customHeight="1" thickBot="1">
      <c r="A111" s="418" t="s">
        <v>85</v>
      </c>
      <c r="B111" s="221" t="s">
        <v>5</v>
      </c>
      <c r="C111" s="222">
        <f>10000*5*3</f>
        <v>150000</v>
      </c>
      <c r="D111" s="223">
        <v>0.5</v>
      </c>
      <c r="E111" s="426"/>
      <c r="F111" s="415" t="s">
        <v>252</v>
      </c>
      <c r="G111" s="146"/>
      <c r="H111" s="146"/>
      <c r="I111" s="54">
        <f>C111</f>
        <v>150000</v>
      </c>
      <c r="J111" s="59"/>
      <c r="K111" s="70"/>
      <c r="L111" s="27"/>
      <c r="M111" s="27"/>
      <c r="N111" s="27"/>
      <c r="O111" s="27"/>
      <c r="P111" s="27"/>
      <c r="Q111" s="28"/>
      <c r="R111" s="28"/>
    </row>
    <row r="112" spans="1:18" ht="21.75" customHeight="1" thickBot="1">
      <c r="A112" s="419"/>
      <c r="B112" s="225" t="s">
        <v>6</v>
      </c>
      <c r="C112" s="238">
        <f>C111*0%</f>
        <v>0</v>
      </c>
      <c r="D112" s="227">
        <v>0.5</v>
      </c>
      <c r="E112" s="427"/>
      <c r="F112" s="415"/>
      <c r="G112" s="146"/>
      <c r="H112" s="146"/>
      <c r="I112" s="51"/>
      <c r="J112" s="59"/>
      <c r="L112" s="27"/>
      <c r="M112" s="27"/>
      <c r="N112" s="27"/>
      <c r="O112" s="27"/>
      <c r="P112" s="27"/>
      <c r="Q112" s="28"/>
      <c r="R112" s="28"/>
    </row>
    <row r="113" spans="1:18">
      <c r="A113" s="228"/>
      <c r="B113" s="229"/>
      <c r="C113" s="230"/>
      <c r="D113" s="228"/>
      <c r="E113" s="231"/>
      <c r="F113" s="130"/>
      <c r="G113" s="146"/>
      <c r="H113" s="146"/>
      <c r="I113" s="51"/>
      <c r="J113" s="59"/>
      <c r="L113" s="27"/>
      <c r="M113" s="27"/>
      <c r="N113" s="27"/>
      <c r="O113" s="27"/>
      <c r="P113" s="27"/>
      <c r="Q113" s="28"/>
      <c r="R113" s="28"/>
    </row>
    <row r="114" spans="1:18">
      <c r="A114" s="410" t="s">
        <v>87</v>
      </c>
      <c r="B114" s="410"/>
      <c r="C114" s="410"/>
      <c r="D114" s="410"/>
      <c r="E114" s="410"/>
      <c r="F114" s="410"/>
      <c r="G114" s="146"/>
      <c r="H114" s="146"/>
      <c r="I114" s="51"/>
      <c r="J114" s="59"/>
      <c r="L114" s="27"/>
      <c r="M114" s="27"/>
      <c r="N114" s="27"/>
      <c r="O114" s="27"/>
      <c r="P114" s="27"/>
      <c r="Q114" s="28"/>
      <c r="R114" s="28"/>
    </row>
    <row r="115" spans="1:18" ht="15.75" thickBot="1">
      <c r="A115" s="151"/>
      <c r="B115" s="164"/>
      <c r="C115" s="199"/>
      <c r="D115" s="151"/>
      <c r="E115" s="165"/>
      <c r="F115" s="130"/>
      <c r="G115" s="146"/>
      <c r="H115" s="146"/>
      <c r="I115" s="51"/>
      <c r="J115" s="59"/>
      <c r="L115" s="27"/>
      <c r="M115" s="27"/>
      <c r="N115" s="27"/>
      <c r="O115" s="27"/>
      <c r="P115" s="27"/>
      <c r="Q115" s="28"/>
      <c r="R115" s="28"/>
    </row>
    <row r="116" spans="1:18" ht="27" thickTop="1" thickBot="1">
      <c r="A116" s="218" t="s">
        <v>0</v>
      </c>
      <c r="B116" s="142" t="s">
        <v>1</v>
      </c>
      <c r="C116" s="142" t="s">
        <v>2</v>
      </c>
      <c r="D116" s="219" t="s">
        <v>3</v>
      </c>
      <c r="E116" s="220" t="s">
        <v>4</v>
      </c>
      <c r="F116" s="194" t="s">
        <v>25</v>
      </c>
      <c r="G116" s="146"/>
      <c r="H116" s="146"/>
      <c r="I116" s="51"/>
      <c r="J116" s="59"/>
      <c r="K116" s="70"/>
      <c r="L116" s="27"/>
      <c r="M116" s="27"/>
      <c r="N116" s="27"/>
      <c r="O116" s="27"/>
      <c r="P116" s="27"/>
      <c r="Q116" s="28"/>
      <c r="R116" s="28"/>
    </row>
    <row r="117" spans="1:18" ht="15.75" thickBot="1">
      <c r="A117" s="418" t="s">
        <v>86</v>
      </c>
      <c r="B117" s="221" t="s">
        <v>5</v>
      </c>
      <c r="C117" s="222">
        <v>25000</v>
      </c>
      <c r="D117" s="223">
        <v>0.5</v>
      </c>
      <c r="E117" s="426"/>
      <c r="F117" s="415" t="s">
        <v>95</v>
      </c>
      <c r="G117" s="146"/>
      <c r="H117" s="146"/>
      <c r="I117" s="54">
        <f>C117</f>
        <v>25000</v>
      </c>
      <c r="J117" s="59"/>
      <c r="L117" s="27"/>
      <c r="M117" s="27"/>
      <c r="N117" s="27"/>
      <c r="O117" s="27"/>
      <c r="P117" s="27"/>
      <c r="Q117" s="28"/>
      <c r="R117" s="28"/>
    </row>
    <row r="118" spans="1:18" ht="15.75" thickBot="1">
      <c r="A118" s="419"/>
      <c r="B118" s="225" t="s">
        <v>6</v>
      </c>
      <c r="C118" s="238">
        <f>C117*0%</f>
        <v>0</v>
      </c>
      <c r="D118" s="227">
        <v>0.5</v>
      </c>
      <c r="E118" s="427"/>
      <c r="F118" s="415"/>
      <c r="G118" s="146"/>
      <c r="H118" s="146"/>
      <c r="I118" s="51"/>
      <c r="J118" s="59"/>
      <c r="L118" s="27"/>
      <c r="M118" s="27"/>
      <c r="N118" s="27"/>
      <c r="O118" s="27"/>
      <c r="P118" s="27"/>
      <c r="Q118" s="28"/>
      <c r="R118" s="28"/>
    </row>
    <row r="119" spans="1:18">
      <c r="A119" s="151"/>
      <c r="B119" s="164"/>
      <c r="C119" s="199"/>
      <c r="D119" s="151"/>
      <c r="E119" s="165"/>
      <c r="F119" s="130"/>
      <c r="G119" s="146"/>
      <c r="H119" s="146"/>
      <c r="I119" s="51"/>
      <c r="J119" s="59"/>
      <c r="L119" s="27"/>
      <c r="M119" s="27"/>
      <c r="N119" s="27"/>
      <c r="O119" s="27"/>
      <c r="P119" s="27"/>
      <c r="Q119" s="28"/>
      <c r="R119" s="28"/>
    </row>
    <row r="120" spans="1:18">
      <c r="A120" s="410" t="s">
        <v>208</v>
      </c>
      <c r="B120" s="410"/>
      <c r="C120" s="410"/>
      <c r="D120" s="410"/>
      <c r="E120" s="410"/>
      <c r="F120" s="410"/>
      <c r="G120" s="146"/>
      <c r="H120" s="146"/>
      <c r="I120" s="51"/>
      <c r="J120" s="59"/>
      <c r="L120" s="27"/>
      <c r="M120" s="27"/>
      <c r="N120" s="27"/>
      <c r="O120" s="27"/>
      <c r="P120" s="27"/>
      <c r="Q120" s="28"/>
      <c r="R120" s="28"/>
    </row>
    <row r="121" spans="1:18" ht="15.75" thickBot="1">
      <c r="A121" s="151"/>
      <c r="B121" s="164"/>
      <c r="C121" s="199"/>
      <c r="D121" s="151"/>
      <c r="E121" s="165"/>
      <c r="F121" s="130"/>
      <c r="G121" s="146"/>
      <c r="H121" s="146"/>
      <c r="I121" s="51"/>
      <c r="J121" s="59"/>
      <c r="L121" s="27"/>
      <c r="M121" s="27"/>
      <c r="N121" s="27"/>
      <c r="O121" s="27"/>
      <c r="P121" s="27"/>
      <c r="Q121" s="28"/>
      <c r="R121" s="28"/>
    </row>
    <row r="122" spans="1:18" ht="27" thickTop="1" thickBot="1">
      <c r="A122" s="218" t="s">
        <v>0</v>
      </c>
      <c r="B122" s="142" t="s">
        <v>1</v>
      </c>
      <c r="C122" s="142" t="s">
        <v>2</v>
      </c>
      <c r="D122" s="219" t="s">
        <v>3</v>
      </c>
      <c r="E122" s="220" t="s">
        <v>4</v>
      </c>
      <c r="F122" s="247" t="s">
        <v>25</v>
      </c>
      <c r="G122" s="146"/>
      <c r="H122" s="146"/>
      <c r="I122" s="51"/>
      <c r="J122" s="59"/>
      <c r="K122" s="71"/>
      <c r="L122" s="27"/>
      <c r="M122" s="27"/>
      <c r="N122" s="27"/>
      <c r="O122" s="27"/>
      <c r="P122" s="27"/>
      <c r="Q122" s="28"/>
      <c r="R122" s="28"/>
    </row>
    <row r="123" spans="1:18" ht="15.75" thickBot="1">
      <c r="A123" s="418" t="s">
        <v>88</v>
      </c>
      <c r="B123" s="221" t="s">
        <v>5</v>
      </c>
      <c r="C123" s="222">
        <v>5000</v>
      </c>
      <c r="D123" s="223">
        <v>0.5</v>
      </c>
      <c r="E123" s="426"/>
      <c r="F123" s="416" t="s">
        <v>94</v>
      </c>
      <c r="G123" s="146"/>
      <c r="H123" s="146"/>
      <c r="I123" s="54">
        <f>C123</f>
        <v>5000</v>
      </c>
      <c r="J123" s="59"/>
      <c r="K123" s="72"/>
      <c r="L123" s="27"/>
      <c r="M123" s="27"/>
      <c r="N123" s="27"/>
      <c r="O123" s="27"/>
      <c r="P123" s="27"/>
      <c r="Q123" s="28"/>
      <c r="R123" s="28"/>
    </row>
    <row r="124" spans="1:18" ht="15.75" thickBot="1">
      <c r="A124" s="419"/>
      <c r="B124" s="225" t="s">
        <v>6</v>
      </c>
      <c r="C124" s="238">
        <f>C123*0%</f>
        <v>0</v>
      </c>
      <c r="D124" s="227">
        <v>0.5</v>
      </c>
      <c r="E124" s="427"/>
      <c r="F124" s="417"/>
      <c r="G124" s="146"/>
      <c r="H124" s="146"/>
      <c r="I124" s="51"/>
      <c r="J124" s="59"/>
      <c r="K124" s="71"/>
      <c r="L124" s="27"/>
      <c r="M124" s="27"/>
      <c r="N124" s="27"/>
      <c r="O124" s="27"/>
      <c r="P124" s="27"/>
      <c r="Q124" s="28"/>
      <c r="R124" s="28"/>
    </row>
    <row r="125" spans="1:18">
      <c r="A125" s="228"/>
      <c r="B125" s="229"/>
      <c r="C125" s="230"/>
      <c r="D125" s="228"/>
      <c r="E125" s="231"/>
      <c r="F125" s="131" t="s">
        <v>58</v>
      </c>
      <c r="G125" s="146"/>
      <c r="H125" s="146"/>
      <c r="I125" s="51"/>
      <c r="J125" s="59"/>
      <c r="K125" s="71"/>
      <c r="L125" s="27"/>
      <c r="M125" s="27"/>
      <c r="N125" s="27"/>
      <c r="O125" s="27"/>
      <c r="P125" s="27"/>
      <c r="Q125" s="28"/>
      <c r="R125" s="28"/>
    </row>
    <row r="126" spans="1:18">
      <c r="A126" s="139" t="s">
        <v>89</v>
      </c>
      <c r="B126" s="139"/>
      <c r="C126" s="139"/>
      <c r="D126" s="139"/>
      <c r="E126" s="139"/>
      <c r="F126" s="132"/>
      <c r="G126" s="146"/>
      <c r="H126" s="146"/>
      <c r="I126" s="51"/>
      <c r="J126" s="59"/>
      <c r="K126" s="71"/>
      <c r="L126" s="27"/>
      <c r="M126" s="27"/>
      <c r="N126" s="27"/>
      <c r="O126" s="27"/>
      <c r="P126" s="27"/>
      <c r="Q126" s="28"/>
      <c r="R126" s="28"/>
    </row>
    <row r="127" spans="1:18">
      <c r="A127" s="228"/>
      <c r="B127" s="229"/>
      <c r="C127" s="230"/>
      <c r="D127" s="228"/>
      <c r="E127" s="231"/>
      <c r="F127" s="132"/>
      <c r="G127" s="146"/>
      <c r="H127" s="146"/>
      <c r="I127" s="51"/>
      <c r="J127" s="59"/>
      <c r="L127" s="27"/>
      <c r="M127" s="27"/>
      <c r="N127" s="27"/>
      <c r="O127" s="27"/>
      <c r="P127" s="27"/>
      <c r="Q127" s="28"/>
      <c r="R127" s="28"/>
    </row>
    <row r="128" spans="1:18" ht="15" customHeight="1">
      <c r="A128" s="231" t="s">
        <v>209</v>
      </c>
      <c r="B128" s="231"/>
      <c r="C128" s="231"/>
      <c r="D128" s="231"/>
      <c r="E128" s="231"/>
      <c r="F128" s="132"/>
      <c r="G128" s="146"/>
      <c r="H128" s="146"/>
      <c r="I128" s="51"/>
      <c r="J128" s="59"/>
      <c r="L128" s="27"/>
      <c r="M128" s="27"/>
      <c r="N128" s="27"/>
      <c r="O128" s="27"/>
      <c r="P128" s="27"/>
      <c r="Q128" s="28"/>
      <c r="R128" s="28"/>
    </row>
    <row r="129" spans="1:18" ht="15.75" thickBot="1">
      <c r="A129" s="151"/>
      <c r="B129" s="164"/>
      <c r="C129" s="199"/>
      <c r="D129" s="151"/>
      <c r="E129" s="165"/>
      <c r="F129" s="133"/>
      <c r="G129" s="146"/>
      <c r="H129" s="146"/>
      <c r="I129" s="51"/>
      <c r="J129" s="59"/>
      <c r="L129" s="27"/>
      <c r="M129" s="27"/>
      <c r="N129" s="27"/>
      <c r="O129" s="27"/>
      <c r="P129" s="27"/>
      <c r="Q129" s="28"/>
      <c r="R129" s="28"/>
    </row>
    <row r="130" spans="1:18" ht="27" thickTop="1" thickBot="1">
      <c r="A130" s="218" t="s">
        <v>0</v>
      </c>
      <c r="B130" s="142" t="s">
        <v>1</v>
      </c>
      <c r="C130" s="142" t="s">
        <v>2</v>
      </c>
      <c r="D130" s="219" t="s">
        <v>3</v>
      </c>
      <c r="E130" s="220" t="s">
        <v>4</v>
      </c>
      <c r="F130" s="145" t="s">
        <v>25</v>
      </c>
      <c r="G130" s="146"/>
      <c r="H130" s="146"/>
      <c r="I130" s="51"/>
      <c r="J130" s="59"/>
      <c r="L130" s="27"/>
      <c r="M130" s="27"/>
      <c r="N130" s="27"/>
      <c r="O130" s="27"/>
      <c r="P130" s="27"/>
      <c r="Q130" s="28"/>
      <c r="R130" s="28"/>
    </row>
    <row r="131" spans="1:18" ht="15.75" thickBot="1">
      <c r="A131" s="418" t="s">
        <v>90</v>
      </c>
      <c r="B131" s="221" t="s">
        <v>5</v>
      </c>
      <c r="C131" s="222">
        <f>1000000/100*3.6</f>
        <v>36000</v>
      </c>
      <c r="D131" s="223">
        <v>0.5</v>
      </c>
      <c r="E131" s="426"/>
      <c r="F131" s="428" t="s">
        <v>93</v>
      </c>
      <c r="G131" s="146"/>
      <c r="H131" s="146"/>
      <c r="I131" s="51"/>
      <c r="J131" s="62">
        <f>C131</f>
        <v>36000</v>
      </c>
      <c r="K131" s="70"/>
      <c r="L131" s="42"/>
      <c r="M131" s="27"/>
      <c r="N131" s="27"/>
      <c r="O131" s="27"/>
      <c r="P131" s="27"/>
      <c r="Q131" s="28"/>
      <c r="R131" s="28"/>
    </row>
    <row r="132" spans="1:18" ht="32.25" customHeight="1" thickBot="1">
      <c r="A132" s="419"/>
      <c r="B132" s="225" t="s">
        <v>6</v>
      </c>
      <c r="C132" s="238">
        <f>C131*0%</f>
        <v>0</v>
      </c>
      <c r="D132" s="227">
        <v>0.5</v>
      </c>
      <c r="E132" s="427"/>
      <c r="F132" s="429"/>
      <c r="G132" s="146"/>
      <c r="H132" s="146"/>
      <c r="I132" s="51"/>
      <c r="J132" s="59"/>
      <c r="L132" s="27"/>
      <c r="M132" s="27"/>
      <c r="N132" s="27"/>
      <c r="O132" s="27"/>
      <c r="P132" s="27"/>
      <c r="Q132" s="28"/>
      <c r="R132" s="28"/>
    </row>
    <row r="133" spans="1:18" ht="17.25" customHeight="1">
      <c r="A133" s="228"/>
      <c r="B133" s="229"/>
      <c r="C133" s="230"/>
      <c r="D133" s="228"/>
      <c r="E133" s="231"/>
      <c r="F133" s="130"/>
      <c r="G133" s="146"/>
      <c r="H133" s="146"/>
      <c r="I133" s="51"/>
      <c r="J133" s="59"/>
      <c r="L133" s="27"/>
      <c r="M133" s="27"/>
      <c r="N133" s="27"/>
      <c r="O133" s="27"/>
      <c r="P133" s="27"/>
      <c r="Q133" s="28"/>
      <c r="R133" s="28"/>
    </row>
    <row r="134" spans="1:18" ht="15.75" thickBot="1">
      <c r="A134" s="410" t="s">
        <v>91</v>
      </c>
      <c r="B134" s="410"/>
      <c r="C134" s="410"/>
      <c r="D134" s="410"/>
      <c r="E134" s="410"/>
      <c r="F134" s="410"/>
      <c r="G134" s="146"/>
      <c r="H134" s="146"/>
      <c r="I134" s="51"/>
      <c r="J134" s="59"/>
      <c r="L134" s="27"/>
      <c r="M134" s="27"/>
      <c r="N134" s="27"/>
      <c r="O134" s="27"/>
      <c r="P134" s="27"/>
      <c r="Q134" s="28"/>
      <c r="R134" s="28"/>
    </row>
    <row r="135" spans="1:18" ht="27" thickTop="1" thickBot="1">
      <c r="A135" s="218" t="s">
        <v>0</v>
      </c>
      <c r="B135" s="142" t="s">
        <v>1</v>
      </c>
      <c r="C135" s="142" t="s">
        <v>2</v>
      </c>
      <c r="D135" s="219" t="s">
        <v>3</v>
      </c>
      <c r="E135" s="220" t="s">
        <v>4</v>
      </c>
      <c r="F135" s="145" t="s">
        <v>25</v>
      </c>
      <c r="G135" s="146"/>
      <c r="H135" s="146"/>
      <c r="I135" s="51"/>
      <c r="J135" s="59"/>
      <c r="L135" s="27"/>
      <c r="M135" s="27"/>
      <c r="N135" s="27"/>
      <c r="O135" s="27"/>
      <c r="P135" s="27"/>
      <c r="Q135" s="28"/>
      <c r="R135" s="28"/>
    </row>
    <row r="136" spans="1:18" ht="33" customHeight="1" thickBot="1">
      <c r="A136" s="418" t="s">
        <v>117</v>
      </c>
      <c r="B136" s="221" t="s">
        <v>5</v>
      </c>
      <c r="C136" s="239">
        <f>75000/1.18</f>
        <v>63559.322033898308</v>
      </c>
      <c r="D136" s="223">
        <v>0.5</v>
      </c>
      <c r="E136" s="426"/>
      <c r="F136" s="428" t="s">
        <v>96</v>
      </c>
      <c r="G136" s="158">
        <f>C136</f>
        <v>63559.322033898308</v>
      </c>
      <c r="H136" s="146"/>
      <c r="I136" s="51"/>
      <c r="J136" s="59"/>
      <c r="L136" s="35"/>
      <c r="M136" s="27"/>
      <c r="N136" s="27"/>
      <c r="O136" s="27"/>
      <c r="P136" s="27"/>
      <c r="Q136" s="28"/>
      <c r="R136" s="28"/>
    </row>
    <row r="137" spans="1:18" ht="31.5" customHeight="1" thickBot="1">
      <c r="A137" s="419"/>
      <c r="B137" s="225" t="s">
        <v>6</v>
      </c>
      <c r="C137" s="238">
        <f>C136*18%</f>
        <v>11440.677966101695</v>
      </c>
      <c r="D137" s="227">
        <v>0.5</v>
      </c>
      <c r="E137" s="427"/>
      <c r="F137" s="429"/>
      <c r="G137" s="146"/>
      <c r="H137" s="146"/>
      <c r="I137" s="51"/>
      <c r="J137" s="59"/>
      <c r="L137" s="42"/>
      <c r="M137" s="27"/>
      <c r="N137" s="27"/>
      <c r="O137" s="27"/>
      <c r="P137" s="27"/>
      <c r="Q137" s="28"/>
      <c r="R137" s="28"/>
    </row>
    <row r="138" spans="1:18" ht="24" customHeight="1">
      <c r="A138" s="228"/>
      <c r="B138" s="229"/>
      <c r="C138" s="230"/>
      <c r="D138" s="228"/>
      <c r="E138" s="231"/>
      <c r="F138" s="130"/>
      <c r="G138" s="146"/>
      <c r="H138" s="146"/>
      <c r="I138" s="55"/>
      <c r="J138" s="63"/>
      <c r="L138" s="41"/>
      <c r="M138" s="27"/>
      <c r="N138" s="27"/>
      <c r="O138" s="27"/>
      <c r="P138" s="27"/>
      <c r="Q138" s="28"/>
      <c r="R138" s="28"/>
    </row>
    <row r="139" spans="1:18">
      <c r="A139" s="375" t="s">
        <v>100</v>
      </c>
      <c r="B139" s="375"/>
      <c r="C139" s="375"/>
      <c r="D139" s="375"/>
      <c r="E139" s="375"/>
      <c r="F139" s="375"/>
      <c r="G139" s="146"/>
      <c r="H139" s="146"/>
      <c r="I139" s="55"/>
      <c r="J139" s="63"/>
      <c r="L139" s="27"/>
      <c r="M139" s="27"/>
      <c r="N139" s="27"/>
      <c r="O139" s="27"/>
      <c r="P139" s="27"/>
      <c r="Q139" s="28"/>
      <c r="R139" s="28"/>
    </row>
    <row r="140" spans="1:18">
      <c r="A140" s="151"/>
      <c r="B140" s="164"/>
      <c r="C140" s="199"/>
      <c r="D140" s="151"/>
      <c r="E140" s="165"/>
      <c r="F140" s="130"/>
      <c r="G140" s="146"/>
      <c r="H140" s="146"/>
      <c r="I140" s="55"/>
      <c r="J140" s="63"/>
      <c r="L140" s="27"/>
      <c r="M140" s="27"/>
      <c r="N140" s="27"/>
      <c r="O140" s="27"/>
      <c r="P140" s="27"/>
      <c r="Q140" s="28"/>
      <c r="R140" s="28"/>
    </row>
    <row r="141" spans="1:18" ht="18.75" customHeight="1" thickBot="1">
      <c r="A141" s="367" t="s">
        <v>217</v>
      </c>
      <c r="B141" s="367"/>
      <c r="C141" s="367"/>
      <c r="D141" s="367"/>
      <c r="E141" s="367"/>
      <c r="G141" s="146"/>
      <c r="H141" s="146"/>
      <c r="I141" s="55"/>
      <c r="J141" s="63"/>
      <c r="L141" s="27"/>
      <c r="M141" s="27"/>
      <c r="N141" s="27"/>
      <c r="O141" s="27"/>
      <c r="P141" s="27"/>
      <c r="Q141" s="28"/>
      <c r="R141" s="28"/>
    </row>
    <row r="142" spans="1:18" ht="27" thickTop="1" thickBot="1">
      <c r="A142" s="166" t="s">
        <v>0</v>
      </c>
      <c r="B142" s="167" t="s">
        <v>1</v>
      </c>
      <c r="C142" s="168" t="s">
        <v>2</v>
      </c>
      <c r="D142" s="169" t="s">
        <v>3</v>
      </c>
      <c r="E142" s="170" t="s">
        <v>4</v>
      </c>
      <c r="F142" s="145" t="s">
        <v>25</v>
      </c>
      <c r="G142" s="146"/>
      <c r="H142" s="146"/>
      <c r="I142" s="55"/>
      <c r="J142" s="63"/>
      <c r="L142" s="27"/>
      <c r="M142" s="27"/>
      <c r="N142" s="27"/>
      <c r="O142" s="27"/>
      <c r="P142" s="27"/>
      <c r="Q142" s="28"/>
      <c r="R142" s="28"/>
    </row>
    <row r="143" spans="1:18" ht="37.5" customHeight="1" thickBot="1">
      <c r="A143" s="248" t="s">
        <v>9</v>
      </c>
      <c r="B143" s="249" t="s">
        <v>212</v>
      </c>
      <c r="C143" s="250">
        <v>20000</v>
      </c>
      <c r="D143" s="360">
        <v>0.5</v>
      </c>
      <c r="E143" s="362"/>
      <c r="F143" s="251" t="s">
        <v>211</v>
      </c>
      <c r="G143" s="146"/>
      <c r="H143" s="146"/>
      <c r="I143" s="55"/>
      <c r="J143" s="63"/>
      <c r="K143" s="64">
        <f>C143</f>
        <v>20000</v>
      </c>
      <c r="L143" s="27"/>
      <c r="M143" s="27"/>
      <c r="N143" s="27"/>
      <c r="O143" s="27"/>
      <c r="P143" s="27"/>
      <c r="Q143" s="28"/>
      <c r="R143" s="28"/>
    </row>
    <row r="144" spans="1:18" ht="36.75" thickBot="1">
      <c r="A144" s="176"/>
      <c r="B144" s="171" t="s">
        <v>6</v>
      </c>
      <c r="C144" s="171" t="s">
        <v>10</v>
      </c>
      <c r="D144" s="361"/>
      <c r="E144" s="363"/>
      <c r="F144" s="252" t="s">
        <v>31</v>
      </c>
      <c r="G144" s="146"/>
      <c r="H144" s="146"/>
      <c r="I144" s="55"/>
      <c r="J144" s="63"/>
      <c r="L144" s="27"/>
      <c r="M144" s="27"/>
      <c r="N144" s="27"/>
      <c r="O144" s="27"/>
      <c r="P144" s="27"/>
      <c r="Q144" s="28"/>
      <c r="R144" s="28"/>
    </row>
    <row r="145" spans="1:32">
      <c r="A145" s="132"/>
      <c r="B145" s="164"/>
      <c r="C145" s="164"/>
      <c r="D145" s="151"/>
      <c r="E145" s="165"/>
      <c r="F145" s="198"/>
      <c r="G145" s="146"/>
      <c r="H145" s="146"/>
      <c r="I145" s="55"/>
      <c r="J145" s="63"/>
      <c r="L145" s="27"/>
      <c r="M145" s="27"/>
      <c r="N145" s="27"/>
      <c r="O145" s="27"/>
      <c r="P145" s="27"/>
      <c r="Q145" s="28"/>
      <c r="R145" s="28"/>
    </row>
    <row r="146" spans="1:32" ht="50.25" customHeight="1" thickBot="1">
      <c r="A146" s="367" t="s">
        <v>116</v>
      </c>
      <c r="B146" s="367"/>
      <c r="C146" s="367"/>
      <c r="D146" s="367"/>
      <c r="E146" s="367"/>
      <c r="G146" s="146"/>
      <c r="H146" s="146"/>
      <c r="I146" s="55"/>
      <c r="J146" s="63"/>
      <c r="L146" s="27"/>
      <c r="M146" s="27"/>
      <c r="N146" s="27"/>
      <c r="O146" s="27"/>
      <c r="P146" s="27"/>
      <c r="Q146" s="28"/>
      <c r="R146" s="28"/>
    </row>
    <row r="147" spans="1:32" ht="27" thickTop="1" thickBot="1">
      <c r="A147" s="140" t="s">
        <v>0</v>
      </c>
      <c r="B147" s="167" t="s">
        <v>1</v>
      </c>
      <c r="C147" s="168" t="s">
        <v>2</v>
      </c>
      <c r="D147" s="169" t="s">
        <v>3</v>
      </c>
      <c r="E147" s="170" t="s">
        <v>4</v>
      </c>
      <c r="F147" s="145" t="s">
        <v>25</v>
      </c>
      <c r="G147" s="146"/>
      <c r="H147" s="146"/>
      <c r="I147" s="55"/>
      <c r="J147" s="63"/>
      <c r="L147" s="27"/>
      <c r="M147" s="27"/>
      <c r="N147" s="27"/>
      <c r="O147" s="27"/>
      <c r="P147" s="27"/>
      <c r="Q147" s="28"/>
      <c r="R147" s="28"/>
    </row>
    <row r="148" spans="1:32" ht="21" customHeight="1" thickBot="1">
      <c r="A148" s="253" t="s">
        <v>101</v>
      </c>
      <c r="B148" s="254" t="s">
        <v>5</v>
      </c>
      <c r="C148" s="250">
        <v>50000</v>
      </c>
      <c r="D148" s="360">
        <v>0.5</v>
      </c>
      <c r="E148" s="362"/>
      <c r="F148" s="251" t="s">
        <v>211</v>
      </c>
      <c r="G148" s="146"/>
      <c r="H148" s="146"/>
      <c r="I148" s="55"/>
      <c r="J148" s="63"/>
      <c r="K148" s="64">
        <f>C148</f>
        <v>50000</v>
      </c>
      <c r="L148" s="27"/>
      <c r="M148" s="27"/>
      <c r="N148" s="27"/>
      <c r="O148" s="27"/>
      <c r="P148" s="27"/>
      <c r="Q148" s="28"/>
      <c r="R148" s="28"/>
    </row>
    <row r="149" spans="1:32" ht="36.75" thickBot="1">
      <c r="A149" s="255" t="s">
        <v>10</v>
      </c>
      <c r="B149" s="171" t="s">
        <v>6</v>
      </c>
      <c r="C149" s="171" t="s">
        <v>10</v>
      </c>
      <c r="D149" s="361"/>
      <c r="E149" s="363"/>
      <c r="F149" s="252" t="s">
        <v>31</v>
      </c>
      <c r="G149" s="146"/>
      <c r="H149" s="146"/>
      <c r="I149" s="55"/>
      <c r="J149" s="63"/>
      <c r="L149" s="27"/>
      <c r="M149" s="27"/>
      <c r="N149" s="27"/>
      <c r="O149" s="27"/>
      <c r="P149" s="27"/>
      <c r="Q149" s="28"/>
      <c r="R149" s="28"/>
    </row>
    <row r="150" spans="1:32">
      <c r="A150" s="132"/>
      <c r="B150" s="164"/>
      <c r="C150" s="164"/>
      <c r="D150" s="151"/>
      <c r="E150" s="165"/>
      <c r="F150" s="198"/>
      <c r="G150" s="146"/>
      <c r="H150" s="146"/>
      <c r="I150" s="55"/>
      <c r="J150" s="63"/>
      <c r="L150" s="27"/>
      <c r="M150" s="27"/>
      <c r="N150" s="27"/>
      <c r="O150" s="27"/>
      <c r="P150" s="27"/>
      <c r="Q150" s="28"/>
      <c r="R150" s="28"/>
    </row>
    <row r="151" spans="1:32" ht="22.5" customHeight="1" thickBot="1">
      <c r="A151" s="367" t="s">
        <v>174</v>
      </c>
      <c r="B151" s="367"/>
      <c r="C151" s="367"/>
      <c r="D151" s="367"/>
      <c r="E151" s="367"/>
      <c r="G151" s="146"/>
      <c r="H151" s="146"/>
      <c r="I151" s="55"/>
      <c r="J151" s="63"/>
      <c r="L151" s="27"/>
      <c r="M151" s="27"/>
      <c r="N151" s="27"/>
      <c r="O151" s="27"/>
      <c r="P151" s="27"/>
      <c r="Q151" s="28"/>
      <c r="R151" s="28"/>
    </row>
    <row r="152" spans="1:32" ht="54" customHeight="1" thickTop="1" thickBot="1">
      <c r="A152" s="140" t="s">
        <v>0</v>
      </c>
      <c r="B152" s="141" t="s">
        <v>1</v>
      </c>
      <c r="C152" s="142" t="s">
        <v>2</v>
      </c>
      <c r="D152" s="143" t="s">
        <v>3</v>
      </c>
      <c r="E152" s="144" t="s">
        <v>4</v>
      </c>
      <c r="F152" s="145" t="s">
        <v>25</v>
      </c>
      <c r="G152" s="146"/>
      <c r="H152" s="146"/>
      <c r="I152" s="55"/>
      <c r="J152" s="63"/>
      <c r="L152" s="27"/>
      <c r="M152" s="27"/>
      <c r="N152" s="27"/>
      <c r="O152" s="27"/>
      <c r="P152" s="27"/>
      <c r="Q152" s="28"/>
      <c r="R152" s="28"/>
    </row>
    <row r="153" spans="1:32" ht="64.5" customHeight="1" thickBot="1">
      <c r="A153" s="256" t="s">
        <v>173</v>
      </c>
      <c r="B153" s="257" t="s">
        <v>8</v>
      </c>
      <c r="C153" s="258">
        <v>15000</v>
      </c>
      <c r="D153" s="258">
        <v>0.5</v>
      </c>
      <c r="E153" s="259"/>
      <c r="F153" s="260" t="s">
        <v>253</v>
      </c>
      <c r="G153" s="146"/>
      <c r="H153" s="146"/>
      <c r="I153" s="55"/>
      <c r="J153" s="63"/>
      <c r="K153" s="64">
        <f>C153</f>
        <v>15000</v>
      </c>
      <c r="L153" s="43"/>
      <c r="M153" s="27"/>
      <c r="N153" s="27"/>
      <c r="O153" s="27"/>
      <c r="P153" s="43"/>
      <c r="Q153" s="28"/>
      <c r="R153" s="28"/>
      <c r="T153" s="32"/>
      <c r="X153" s="32"/>
      <c r="AB153" s="32"/>
      <c r="AF153" s="32"/>
    </row>
    <row r="154" spans="1:32">
      <c r="A154" s="228"/>
      <c r="B154" s="164"/>
      <c r="C154" s="164"/>
      <c r="D154" s="151"/>
      <c r="E154" s="165"/>
      <c r="F154" s="261"/>
      <c r="G154" s="146"/>
      <c r="H154" s="146"/>
      <c r="I154" s="55"/>
      <c r="J154" s="63"/>
      <c r="L154" s="43"/>
      <c r="M154" s="27"/>
      <c r="N154" s="27"/>
      <c r="O154" s="27"/>
      <c r="P154" s="43"/>
      <c r="Q154" s="28"/>
      <c r="R154" s="28"/>
      <c r="T154" s="32"/>
      <c r="X154" s="32"/>
      <c r="AB154" s="32"/>
      <c r="AF154" s="32"/>
    </row>
    <row r="155" spans="1:32" ht="15.75" thickBot="1">
      <c r="A155" s="367" t="s">
        <v>127</v>
      </c>
      <c r="B155" s="367"/>
      <c r="C155" s="367"/>
      <c r="D155" s="367"/>
      <c r="E155" s="367"/>
      <c r="G155" s="146"/>
      <c r="H155" s="146"/>
      <c r="I155" s="55"/>
      <c r="J155" s="63"/>
      <c r="L155" s="43"/>
      <c r="M155" s="27"/>
      <c r="N155" s="27"/>
      <c r="O155" s="27"/>
      <c r="P155" s="43"/>
      <c r="Q155" s="28"/>
      <c r="R155" s="28"/>
      <c r="T155" s="32"/>
      <c r="X155" s="32"/>
      <c r="AB155" s="32"/>
      <c r="AF155" s="32"/>
    </row>
    <row r="156" spans="1:32" ht="27" thickTop="1" thickBot="1">
      <c r="A156" s="166" t="s">
        <v>0</v>
      </c>
      <c r="B156" s="167" t="s">
        <v>1</v>
      </c>
      <c r="C156" s="168" t="s">
        <v>2</v>
      </c>
      <c r="D156" s="169" t="s">
        <v>3</v>
      </c>
      <c r="E156" s="170" t="s">
        <v>4</v>
      </c>
      <c r="F156" s="145" t="s">
        <v>25</v>
      </c>
      <c r="G156" s="146"/>
      <c r="H156" s="146"/>
      <c r="I156" s="55"/>
      <c r="J156" s="63"/>
      <c r="L156" s="43"/>
      <c r="M156" s="27"/>
      <c r="N156" s="27"/>
      <c r="O156" s="27"/>
      <c r="P156" s="43"/>
      <c r="Q156" s="28"/>
      <c r="R156" s="28"/>
      <c r="T156" s="32"/>
      <c r="X156" s="32"/>
      <c r="AB156" s="32"/>
      <c r="AF156" s="32"/>
    </row>
    <row r="157" spans="1:32" ht="27.75" customHeight="1" thickBot="1">
      <c r="A157" s="262">
        <v>30000</v>
      </c>
      <c r="B157" s="263" t="s">
        <v>254</v>
      </c>
      <c r="C157" s="264">
        <v>30000</v>
      </c>
      <c r="D157" s="372"/>
      <c r="E157" s="400"/>
      <c r="F157" s="453" t="s">
        <v>255</v>
      </c>
      <c r="G157" s="146"/>
      <c r="H157" s="146"/>
      <c r="I157" s="55"/>
      <c r="J157" s="63"/>
      <c r="K157" s="64">
        <f>C157</f>
        <v>30000</v>
      </c>
      <c r="L157" s="43"/>
      <c r="M157" s="27"/>
      <c r="N157" s="27"/>
      <c r="O157" s="27"/>
      <c r="P157" s="43"/>
      <c r="Q157" s="28"/>
      <c r="R157" s="28"/>
      <c r="T157" s="32"/>
      <c r="X157" s="32"/>
      <c r="AB157" s="32"/>
      <c r="AF157" s="32"/>
    </row>
    <row r="158" spans="1:32" ht="36.75" thickBot="1">
      <c r="A158" s="179" t="s">
        <v>10</v>
      </c>
      <c r="B158" s="171" t="s">
        <v>6</v>
      </c>
      <c r="C158" s="171" t="s">
        <v>10</v>
      </c>
      <c r="D158" s="361"/>
      <c r="E158" s="363"/>
      <c r="F158" s="454"/>
      <c r="G158" s="146"/>
      <c r="H158" s="146"/>
      <c r="I158" s="55"/>
      <c r="J158" s="63"/>
      <c r="L158" s="43"/>
      <c r="M158" s="27"/>
      <c r="N158" s="27"/>
      <c r="O158" s="27"/>
      <c r="P158" s="43"/>
      <c r="Q158" s="28"/>
      <c r="R158" s="28"/>
      <c r="T158" s="32"/>
      <c r="X158" s="32"/>
      <c r="AB158" s="32"/>
      <c r="AF158" s="32"/>
    </row>
    <row r="159" spans="1:32">
      <c r="A159" s="132"/>
      <c r="B159" s="164"/>
      <c r="C159" s="164"/>
      <c r="D159" s="151"/>
      <c r="E159" s="165"/>
      <c r="F159" s="261"/>
      <c r="G159" s="146"/>
      <c r="H159" s="146"/>
      <c r="I159" s="55"/>
      <c r="J159" s="63"/>
      <c r="L159" s="43"/>
      <c r="M159" s="27"/>
      <c r="N159" s="27"/>
      <c r="O159" s="27"/>
      <c r="P159" s="43"/>
      <c r="Q159" s="28"/>
      <c r="R159" s="28"/>
      <c r="T159" s="32"/>
      <c r="X159" s="32"/>
      <c r="AB159" s="32"/>
      <c r="AF159" s="32"/>
    </row>
    <row r="160" spans="1:32">
      <c r="A160" s="132"/>
      <c r="B160" s="164"/>
      <c r="C160" s="164"/>
      <c r="D160" s="151"/>
      <c r="E160" s="165"/>
      <c r="F160" s="198"/>
      <c r="G160" s="146"/>
      <c r="H160" s="146"/>
      <c r="I160" s="55"/>
      <c r="J160" s="63"/>
      <c r="L160" s="43"/>
      <c r="M160" s="27"/>
      <c r="N160" s="27"/>
      <c r="O160" s="27"/>
      <c r="P160" s="43"/>
      <c r="Q160" s="28"/>
      <c r="R160" s="28"/>
      <c r="T160" s="32"/>
      <c r="X160" s="32"/>
      <c r="AB160" s="32"/>
      <c r="AF160" s="32"/>
    </row>
    <row r="161" spans="1:34">
      <c r="A161" s="375" t="s">
        <v>102</v>
      </c>
      <c r="B161" s="375"/>
      <c r="C161" s="375"/>
      <c r="D161" s="375"/>
      <c r="E161" s="375"/>
      <c r="F161" s="375"/>
      <c r="G161" s="146"/>
      <c r="H161" s="146"/>
      <c r="I161" s="55"/>
      <c r="J161" s="63"/>
      <c r="L161" s="43"/>
      <c r="M161" s="27"/>
      <c r="N161" s="27"/>
      <c r="O161" s="27"/>
      <c r="P161" s="43"/>
      <c r="Q161" s="28"/>
      <c r="R161" s="28"/>
      <c r="T161" s="32"/>
      <c r="X161" s="32"/>
      <c r="AB161" s="32"/>
      <c r="AF161" s="32"/>
    </row>
    <row r="162" spans="1:34">
      <c r="A162" s="132"/>
      <c r="B162" s="164"/>
      <c r="C162" s="164"/>
      <c r="D162" s="151"/>
      <c r="E162" s="165"/>
      <c r="F162" s="198"/>
      <c r="G162" s="146"/>
      <c r="H162" s="146"/>
      <c r="I162" s="55"/>
      <c r="J162" s="63"/>
      <c r="L162" s="43"/>
      <c r="M162" s="27"/>
      <c r="N162" s="27"/>
      <c r="O162" s="27"/>
      <c r="P162" s="43"/>
      <c r="Q162" s="28"/>
      <c r="R162" s="28"/>
      <c r="T162" s="32"/>
      <c r="X162" s="32"/>
      <c r="AB162" s="32"/>
      <c r="AF162" s="32"/>
    </row>
    <row r="163" spans="1:34" ht="15.75" thickBot="1">
      <c r="A163" s="367" t="s">
        <v>192</v>
      </c>
      <c r="B163" s="367"/>
      <c r="C163" s="367"/>
      <c r="D163" s="367"/>
      <c r="E163" s="367"/>
      <c r="G163" s="146"/>
      <c r="H163" s="146"/>
      <c r="I163" s="55"/>
      <c r="J163" s="63"/>
      <c r="L163" s="43"/>
      <c r="M163" s="27"/>
      <c r="N163" s="27"/>
      <c r="O163" s="27"/>
      <c r="P163" s="43"/>
      <c r="Q163" s="28"/>
      <c r="R163" s="28"/>
      <c r="T163" s="32"/>
      <c r="X163" s="32"/>
      <c r="AB163" s="32"/>
      <c r="AF163" s="32"/>
    </row>
    <row r="164" spans="1:34" ht="27" thickTop="1" thickBot="1">
      <c r="A164" s="140" t="s">
        <v>0</v>
      </c>
      <c r="B164" s="167" t="s">
        <v>1</v>
      </c>
      <c r="C164" s="168" t="s">
        <v>2</v>
      </c>
      <c r="D164" s="169" t="s">
        <v>3</v>
      </c>
      <c r="E164" s="170" t="s">
        <v>4</v>
      </c>
      <c r="F164" s="265" t="s">
        <v>25</v>
      </c>
      <c r="G164" s="146"/>
      <c r="H164" s="146"/>
      <c r="I164" s="55"/>
      <c r="J164" s="63"/>
      <c r="L164" s="27"/>
      <c r="M164" s="27"/>
      <c r="N164" s="27"/>
      <c r="O164" s="27"/>
      <c r="P164" s="27"/>
      <c r="Q164" s="28"/>
      <c r="R164" s="28"/>
    </row>
    <row r="165" spans="1:34" ht="15.75" customHeight="1">
      <c r="A165" s="405" t="s">
        <v>103</v>
      </c>
      <c r="B165" s="266" t="s">
        <v>8</v>
      </c>
      <c r="C165" s="370">
        <f>500/1.18</f>
        <v>423.72881355932208</v>
      </c>
      <c r="D165" s="360">
        <v>0.5</v>
      </c>
      <c r="E165" s="362"/>
      <c r="F165" s="267"/>
      <c r="G165" s="146"/>
      <c r="H165" s="146"/>
      <c r="I165" s="55"/>
      <c r="J165" s="63"/>
      <c r="L165" s="27"/>
      <c r="M165" s="27"/>
      <c r="N165" s="27"/>
      <c r="O165" s="27"/>
      <c r="P165" s="27"/>
      <c r="Q165" s="28"/>
      <c r="R165" s="28"/>
    </row>
    <row r="166" spans="1:34" ht="15.75" thickBot="1">
      <c r="A166" s="406"/>
      <c r="B166" s="263" t="s">
        <v>256</v>
      </c>
      <c r="C166" s="371"/>
      <c r="D166" s="372"/>
      <c r="E166" s="400"/>
      <c r="F166" s="268"/>
      <c r="G166" s="146"/>
      <c r="H166" s="146"/>
      <c r="I166" s="55"/>
      <c r="J166" s="63"/>
      <c r="L166" s="27"/>
      <c r="M166" s="27"/>
      <c r="N166" s="27"/>
      <c r="O166" s="27"/>
      <c r="P166" s="27"/>
      <c r="Q166" s="28"/>
      <c r="R166" s="28"/>
    </row>
    <row r="167" spans="1:34" ht="51" customHeight="1" thickBot="1">
      <c r="A167" s="269" t="s">
        <v>104</v>
      </c>
      <c r="B167" s="171" t="s">
        <v>6</v>
      </c>
      <c r="C167" s="270">
        <f>C165*18%</f>
        <v>76.271186440677965</v>
      </c>
      <c r="D167" s="361"/>
      <c r="E167" s="363"/>
      <c r="F167" s="271" t="s">
        <v>107</v>
      </c>
      <c r="G167" s="146"/>
      <c r="H167" s="146"/>
      <c r="I167" s="55"/>
      <c r="J167" s="63"/>
      <c r="K167" s="71"/>
      <c r="L167" s="388"/>
      <c r="M167" s="388"/>
      <c r="N167" s="388"/>
      <c r="O167" s="28"/>
      <c r="P167" s="388"/>
      <c r="Q167" s="388"/>
      <c r="R167" s="388"/>
      <c r="T167" s="395"/>
      <c r="U167" s="395"/>
      <c r="V167" s="395"/>
      <c r="X167" s="395"/>
      <c r="Y167" s="395"/>
      <c r="Z167" s="395"/>
      <c r="AB167" s="395"/>
      <c r="AC167" s="395"/>
      <c r="AD167" s="395"/>
      <c r="AF167" s="395"/>
      <c r="AG167" s="395"/>
      <c r="AH167" s="395"/>
    </row>
    <row r="168" spans="1:34">
      <c r="A168" s="132"/>
      <c r="B168" s="164"/>
      <c r="C168" s="164"/>
      <c r="D168" s="151"/>
      <c r="E168" s="165"/>
      <c r="F168" s="198"/>
      <c r="G168" s="146"/>
      <c r="H168" s="146"/>
      <c r="I168" s="55"/>
      <c r="J168" s="63"/>
      <c r="K168" s="71"/>
      <c r="L168" s="28"/>
      <c r="M168" s="28"/>
      <c r="N168" s="28"/>
      <c r="O168" s="28"/>
      <c r="P168" s="28"/>
      <c r="Q168" s="28"/>
      <c r="R168" s="28"/>
    </row>
    <row r="169" spans="1:34" ht="15.75" thickBot="1">
      <c r="A169" s="367" t="s">
        <v>218</v>
      </c>
      <c r="B169" s="367"/>
      <c r="C169" s="367"/>
      <c r="D169" s="367"/>
      <c r="E169" s="367"/>
      <c r="G169" s="146"/>
      <c r="H169" s="146"/>
      <c r="I169" s="55"/>
      <c r="J169" s="63"/>
      <c r="K169" s="71"/>
      <c r="L169" s="28"/>
      <c r="M169" s="28"/>
      <c r="N169" s="28"/>
      <c r="O169" s="28"/>
      <c r="P169" s="28"/>
      <c r="Q169" s="28"/>
      <c r="R169" s="28"/>
    </row>
    <row r="170" spans="1:34" ht="27" thickTop="1" thickBot="1">
      <c r="A170" s="140" t="s">
        <v>0</v>
      </c>
      <c r="B170" s="141" t="s">
        <v>1</v>
      </c>
      <c r="C170" s="142" t="s">
        <v>2</v>
      </c>
      <c r="D170" s="143" t="s">
        <v>3</v>
      </c>
      <c r="E170" s="144" t="s">
        <v>4</v>
      </c>
      <c r="F170" s="145" t="s">
        <v>25</v>
      </c>
      <c r="G170" s="146"/>
      <c r="H170" s="146"/>
      <c r="I170" s="55"/>
      <c r="J170" s="63"/>
      <c r="K170" s="71"/>
      <c r="L170" s="28"/>
      <c r="M170" s="28"/>
      <c r="N170" s="28"/>
      <c r="O170" s="28"/>
      <c r="P170" s="28"/>
      <c r="Q170" s="28"/>
      <c r="R170" s="28"/>
      <c r="U170" s="28"/>
      <c r="Y170" s="28"/>
      <c r="AC170" s="28"/>
      <c r="AG170" s="28"/>
    </row>
    <row r="171" spans="1:34" ht="15.75" thickBot="1">
      <c r="A171" s="253" t="s">
        <v>105</v>
      </c>
      <c r="B171" s="272" t="s">
        <v>5</v>
      </c>
      <c r="C171" s="273">
        <f>3000/1.18</f>
        <v>2542.3728813559323</v>
      </c>
      <c r="D171" s="274">
        <v>0.5</v>
      </c>
      <c r="E171" s="275"/>
      <c r="F171" s="276"/>
      <c r="G171" s="146"/>
      <c r="H171" s="146"/>
      <c r="I171" s="55"/>
      <c r="J171" s="63"/>
      <c r="K171" s="71"/>
      <c r="L171" s="28"/>
      <c r="M171" s="28"/>
      <c r="N171" s="28"/>
      <c r="O171" s="28"/>
      <c r="P171" s="28"/>
      <c r="Q171" s="28"/>
      <c r="R171" s="28"/>
      <c r="U171" s="28"/>
      <c r="Y171" s="28"/>
      <c r="AC171" s="28"/>
      <c r="AG171" s="28"/>
    </row>
    <row r="172" spans="1:34" ht="47.25" customHeight="1" thickBot="1">
      <c r="A172" s="277" t="s">
        <v>106</v>
      </c>
      <c r="B172" s="278" t="s">
        <v>6</v>
      </c>
      <c r="C172" s="279">
        <f>C171*18%</f>
        <v>457.62711864406782</v>
      </c>
      <c r="D172" s="280"/>
      <c r="E172" s="206"/>
      <c r="F172" s="271" t="s">
        <v>108</v>
      </c>
      <c r="G172" s="146"/>
      <c r="H172" s="146"/>
      <c r="I172" s="55"/>
      <c r="J172" s="63"/>
      <c r="K172" s="71"/>
      <c r="L172" s="396"/>
      <c r="M172" s="396"/>
      <c r="N172" s="396"/>
      <c r="O172" s="28"/>
      <c r="P172" s="396"/>
      <c r="Q172" s="396"/>
      <c r="R172" s="396"/>
      <c r="T172" s="397"/>
      <c r="U172" s="397"/>
      <c r="V172" s="397"/>
      <c r="X172" s="397"/>
      <c r="Y172" s="397"/>
      <c r="Z172" s="397"/>
      <c r="AB172" s="397"/>
      <c r="AC172" s="397"/>
      <c r="AD172" s="397"/>
      <c r="AF172" s="397"/>
      <c r="AG172" s="397"/>
      <c r="AH172" s="397"/>
    </row>
    <row r="173" spans="1:34">
      <c r="A173" s="228"/>
      <c r="B173" s="164"/>
      <c r="C173" s="199"/>
      <c r="D173" s="151"/>
      <c r="E173" s="151"/>
      <c r="F173" s="130"/>
      <c r="G173" s="146"/>
      <c r="H173" s="146"/>
      <c r="I173" s="55"/>
      <c r="J173" s="63"/>
      <c r="L173" s="27"/>
      <c r="M173" s="27"/>
      <c r="N173" s="27"/>
      <c r="O173" s="27"/>
      <c r="P173" s="27"/>
      <c r="Q173" s="28"/>
      <c r="R173" s="28"/>
      <c r="U173" s="28"/>
      <c r="Y173" s="28"/>
      <c r="AC173" s="28"/>
      <c r="AG173" s="28"/>
    </row>
    <row r="174" spans="1:34" ht="15.75" thickBot="1">
      <c r="A174" s="367" t="s">
        <v>219</v>
      </c>
      <c r="B174" s="367"/>
      <c r="C174" s="367"/>
      <c r="D174" s="367"/>
      <c r="E174" s="367"/>
      <c r="F174" s="132"/>
      <c r="G174" s="146"/>
      <c r="H174" s="146"/>
      <c r="I174" s="55"/>
      <c r="J174" s="63"/>
      <c r="L174" s="27"/>
      <c r="M174" s="27"/>
      <c r="N174" s="27"/>
      <c r="O174" s="27"/>
      <c r="P174" s="27"/>
      <c r="Q174" s="28"/>
      <c r="R174" s="28"/>
      <c r="U174" s="28"/>
      <c r="Y174" s="28"/>
      <c r="AC174" s="28"/>
      <c r="AG174" s="28"/>
    </row>
    <row r="175" spans="1:34" ht="27" thickTop="1" thickBot="1">
      <c r="A175" s="140" t="s">
        <v>0</v>
      </c>
      <c r="B175" s="167" t="s">
        <v>1</v>
      </c>
      <c r="C175" s="168" t="s">
        <v>2</v>
      </c>
      <c r="D175" s="169" t="s">
        <v>3</v>
      </c>
      <c r="E175" s="170" t="s">
        <v>4</v>
      </c>
      <c r="F175" s="265" t="s">
        <v>25</v>
      </c>
      <c r="G175" s="146"/>
      <c r="H175" s="146"/>
      <c r="I175" s="55"/>
      <c r="J175" s="63"/>
      <c r="L175" s="27"/>
      <c r="M175" s="27"/>
      <c r="N175" s="27"/>
      <c r="O175" s="27"/>
      <c r="P175" s="27"/>
      <c r="Q175" s="28"/>
      <c r="R175" s="28"/>
      <c r="U175" s="28"/>
      <c r="Y175" s="28"/>
      <c r="AC175" s="28"/>
      <c r="AG175" s="28"/>
    </row>
    <row r="176" spans="1:34" ht="45.75" thickBot="1">
      <c r="A176" s="233" t="s">
        <v>110</v>
      </c>
      <c r="B176" s="177" t="s">
        <v>212</v>
      </c>
      <c r="C176" s="181">
        <f>4000/1.18</f>
        <v>3389.8305084745766</v>
      </c>
      <c r="D176" s="372"/>
      <c r="E176" s="400"/>
      <c r="F176" s="281"/>
      <c r="G176" s="146"/>
      <c r="H176" s="146"/>
      <c r="I176" s="55"/>
      <c r="J176" s="63"/>
      <c r="K176" s="71"/>
      <c r="L176" s="28"/>
      <c r="M176" s="28"/>
      <c r="N176" s="28"/>
      <c r="O176" s="28"/>
      <c r="P176" s="28"/>
      <c r="Q176" s="28"/>
      <c r="R176" s="28"/>
    </row>
    <row r="177" spans="1:34" ht="51.75" customHeight="1" thickBot="1">
      <c r="A177" s="282" t="s">
        <v>109</v>
      </c>
      <c r="B177" s="171" t="s">
        <v>6</v>
      </c>
      <c r="C177" s="270">
        <f>C176*18%</f>
        <v>610.16949152542372</v>
      </c>
      <c r="D177" s="361"/>
      <c r="E177" s="363"/>
      <c r="F177" s="271" t="s">
        <v>108</v>
      </c>
      <c r="G177" s="146"/>
      <c r="H177" s="146"/>
      <c r="I177" s="55"/>
      <c r="J177" s="63"/>
      <c r="K177" s="71"/>
      <c r="L177" s="388"/>
      <c r="M177" s="388"/>
      <c r="N177" s="388"/>
      <c r="O177" s="28"/>
      <c r="P177" s="388"/>
      <c r="Q177" s="388"/>
      <c r="R177" s="388"/>
      <c r="T177" s="388"/>
      <c r="U177" s="388"/>
      <c r="V177" s="388"/>
      <c r="X177" s="388"/>
      <c r="Y177" s="388"/>
      <c r="Z177" s="388"/>
      <c r="AB177" s="388"/>
      <c r="AC177" s="388"/>
      <c r="AD177" s="388"/>
      <c r="AF177" s="388"/>
      <c r="AG177" s="388"/>
      <c r="AH177" s="388"/>
    </row>
    <row r="178" spans="1:34">
      <c r="A178" s="132"/>
      <c r="B178" s="164"/>
      <c r="C178" s="283"/>
      <c r="D178" s="151"/>
      <c r="E178" s="165"/>
      <c r="F178" s="130"/>
      <c r="G178" s="146"/>
      <c r="H178" s="146"/>
      <c r="I178" s="55"/>
      <c r="J178" s="63"/>
      <c r="K178" s="71"/>
      <c r="L178" s="28"/>
      <c r="M178" s="28"/>
      <c r="N178" s="28"/>
      <c r="O178" s="28"/>
      <c r="P178" s="28"/>
      <c r="Q178" s="28"/>
      <c r="R178" s="28"/>
    </row>
    <row r="179" spans="1:34">
      <c r="A179" s="375" t="s">
        <v>111</v>
      </c>
      <c r="B179" s="375"/>
      <c r="C179" s="375"/>
      <c r="D179" s="375"/>
      <c r="E179" s="375"/>
      <c r="F179" s="375"/>
      <c r="G179" s="146"/>
      <c r="H179" s="146"/>
      <c r="I179" s="55"/>
      <c r="J179" s="63"/>
      <c r="K179" s="71"/>
      <c r="L179" s="28"/>
      <c r="M179" s="28"/>
      <c r="N179" s="28"/>
      <c r="O179" s="28"/>
      <c r="P179" s="28"/>
      <c r="Q179" s="28"/>
      <c r="R179" s="28"/>
    </row>
    <row r="180" spans="1:34">
      <c r="G180" s="146"/>
      <c r="H180" s="146"/>
      <c r="I180" s="55"/>
      <c r="J180" s="63"/>
      <c r="L180" s="27"/>
      <c r="M180" s="27"/>
      <c r="N180" s="27"/>
      <c r="O180" s="27"/>
      <c r="P180" s="27"/>
      <c r="Q180" s="28"/>
      <c r="R180" s="28"/>
    </row>
    <row r="181" spans="1:34" ht="15.75" thickBot="1">
      <c r="A181" s="367" t="s">
        <v>112</v>
      </c>
      <c r="B181" s="367"/>
      <c r="C181" s="367"/>
      <c r="D181" s="367"/>
      <c r="E181" s="367"/>
      <c r="G181" s="146"/>
      <c r="H181" s="146"/>
      <c r="I181" s="55"/>
      <c r="J181" s="63"/>
      <c r="L181" s="27"/>
      <c r="M181" s="27"/>
      <c r="N181" s="27"/>
      <c r="O181" s="27"/>
      <c r="P181" s="27"/>
      <c r="Q181" s="28"/>
      <c r="R181" s="28"/>
    </row>
    <row r="182" spans="1:34" ht="27" thickTop="1" thickBot="1">
      <c r="A182" s="140" t="s">
        <v>0</v>
      </c>
      <c r="B182" s="167" t="s">
        <v>1</v>
      </c>
      <c r="C182" s="168" t="s">
        <v>2</v>
      </c>
      <c r="D182" s="169" t="s">
        <v>3</v>
      </c>
      <c r="E182" s="170" t="s">
        <v>4</v>
      </c>
      <c r="F182" s="145" t="s">
        <v>25</v>
      </c>
      <c r="G182" s="146"/>
      <c r="H182" s="146"/>
      <c r="I182" s="55"/>
      <c r="J182" s="63"/>
      <c r="L182" s="27"/>
      <c r="M182" s="27"/>
      <c r="N182" s="27"/>
      <c r="O182" s="27"/>
      <c r="P182" s="27"/>
      <c r="Q182" s="28"/>
      <c r="R182" s="28"/>
    </row>
    <row r="183" spans="1:34">
      <c r="A183" s="368">
        <v>20000</v>
      </c>
      <c r="B183" s="266" t="s">
        <v>8</v>
      </c>
      <c r="C183" s="370">
        <v>20000</v>
      </c>
      <c r="D183" s="360">
        <v>0.5</v>
      </c>
      <c r="E183" s="389"/>
      <c r="F183" s="392" t="s">
        <v>114</v>
      </c>
      <c r="G183" s="146"/>
      <c r="H183" s="146"/>
      <c r="I183" s="55"/>
      <c r="J183" s="63"/>
      <c r="L183" s="27"/>
      <c r="M183" s="27"/>
      <c r="N183" s="27"/>
      <c r="O183" s="27"/>
      <c r="P183" s="27"/>
      <c r="Q183" s="28"/>
      <c r="R183" s="28"/>
    </row>
    <row r="184" spans="1:34" ht="20.25" customHeight="1" thickBot="1">
      <c r="A184" s="369"/>
      <c r="B184" s="263" t="s">
        <v>256</v>
      </c>
      <c r="C184" s="371"/>
      <c r="D184" s="372"/>
      <c r="E184" s="390"/>
      <c r="F184" s="393"/>
      <c r="G184" s="146"/>
      <c r="H184" s="146"/>
      <c r="I184" s="55"/>
      <c r="J184" s="63"/>
      <c r="L184" s="27"/>
      <c r="M184" s="27"/>
      <c r="N184" s="27"/>
      <c r="O184" s="27"/>
      <c r="P184" s="27"/>
      <c r="Q184" s="28"/>
      <c r="R184" s="28"/>
    </row>
    <row r="185" spans="1:34" ht="29.25" customHeight="1" thickBot="1">
      <c r="A185" s="269" t="s">
        <v>122</v>
      </c>
      <c r="B185" s="171" t="s">
        <v>6</v>
      </c>
      <c r="C185" s="270">
        <f>C183*18%</f>
        <v>3600</v>
      </c>
      <c r="D185" s="361"/>
      <c r="E185" s="391"/>
      <c r="F185" s="394"/>
      <c r="G185" s="146"/>
      <c r="H185" s="146"/>
      <c r="I185" s="55"/>
      <c r="J185" s="63"/>
      <c r="L185" s="27"/>
      <c r="M185" s="27"/>
      <c r="N185" s="27"/>
      <c r="O185" s="27"/>
      <c r="P185" s="27"/>
      <c r="Q185" s="28"/>
      <c r="R185" s="28"/>
    </row>
    <row r="186" spans="1:34" ht="51" customHeight="1" thickBot="1">
      <c r="A186" s="284" t="s">
        <v>125</v>
      </c>
      <c r="B186" s="278" t="s">
        <v>123</v>
      </c>
      <c r="C186" s="285">
        <f>C185</f>
        <v>3600</v>
      </c>
      <c r="D186" s="280">
        <v>0.5</v>
      </c>
      <c r="E186" s="286"/>
      <c r="F186" s="271" t="s">
        <v>124</v>
      </c>
      <c r="G186" s="146"/>
      <c r="H186" s="146"/>
      <c r="I186" s="55"/>
      <c r="J186" s="63"/>
      <c r="L186" s="27"/>
      <c r="M186" s="27"/>
      <c r="N186" s="27"/>
      <c r="O186" s="27"/>
      <c r="P186" s="27"/>
      <c r="Q186" s="28"/>
      <c r="R186" s="28"/>
    </row>
    <row r="187" spans="1:34">
      <c r="A187" s="132"/>
      <c r="B187" s="164"/>
      <c r="C187" s="283"/>
      <c r="D187" s="151"/>
      <c r="E187" s="165"/>
      <c r="F187" s="130"/>
      <c r="G187" s="146"/>
      <c r="H187" s="146"/>
      <c r="I187" s="55"/>
      <c r="J187" s="63"/>
      <c r="L187" s="27"/>
      <c r="M187" s="27"/>
      <c r="N187" s="27"/>
      <c r="O187" s="27"/>
      <c r="P187" s="27"/>
      <c r="Q187" s="28"/>
      <c r="R187" s="28"/>
    </row>
    <row r="188" spans="1:34" ht="15.75" thickBot="1">
      <c r="A188" s="367" t="s">
        <v>113</v>
      </c>
      <c r="B188" s="367"/>
      <c r="C188" s="367"/>
      <c r="D188" s="367"/>
      <c r="E188" s="367"/>
      <c r="G188" s="146"/>
      <c r="H188" s="146"/>
      <c r="I188" s="55"/>
      <c r="J188" s="63"/>
      <c r="L188" s="27"/>
      <c r="M188" s="27"/>
      <c r="N188" s="27"/>
      <c r="O188" s="27"/>
      <c r="P188" s="27"/>
      <c r="Q188" s="28"/>
      <c r="R188" s="28"/>
    </row>
    <row r="189" spans="1:34" ht="27" thickTop="1" thickBot="1">
      <c r="A189" s="140" t="s">
        <v>0</v>
      </c>
      <c r="B189" s="167" t="s">
        <v>1</v>
      </c>
      <c r="C189" s="168" t="s">
        <v>2</v>
      </c>
      <c r="D189" s="169" t="s">
        <v>3</v>
      </c>
      <c r="E189" s="170" t="s">
        <v>4</v>
      </c>
      <c r="F189" s="145" t="s">
        <v>25</v>
      </c>
      <c r="G189" s="146"/>
      <c r="H189" s="146"/>
      <c r="I189" s="55"/>
      <c r="J189" s="63"/>
      <c r="L189" s="27" t="s">
        <v>58</v>
      </c>
      <c r="M189" s="27"/>
      <c r="N189" s="27"/>
      <c r="O189" s="27"/>
      <c r="P189" s="27"/>
      <c r="Q189" s="28"/>
      <c r="R189" s="28"/>
    </row>
    <row r="190" spans="1:34">
      <c r="A190" s="405" t="s">
        <v>257</v>
      </c>
      <c r="B190" s="266" t="s">
        <v>8</v>
      </c>
      <c r="C190" s="370">
        <f>5000*3.2</f>
        <v>16000</v>
      </c>
      <c r="D190" s="360">
        <v>0.5</v>
      </c>
      <c r="E190" s="362"/>
      <c r="F190" s="392" t="s">
        <v>258</v>
      </c>
      <c r="G190" s="146"/>
      <c r="H190" s="146"/>
      <c r="I190" s="55"/>
      <c r="J190" s="63"/>
      <c r="L190" s="27"/>
      <c r="M190" s="27"/>
      <c r="N190" s="27"/>
      <c r="O190" s="27"/>
      <c r="P190" s="27"/>
      <c r="Q190" s="28"/>
      <c r="R190" s="28"/>
    </row>
    <row r="191" spans="1:34" ht="15.75" thickBot="1">
      <c r="A191" s="406"/>
      <c r="B191" s="263" t="s">
        <v>256</v>
      </c>
      <c r="C191" s="371"/>
      <c r="D191" s="372"/>
      <c r="E191" s="400"/>
      <c r="F191" s="393"/>
      <c r="G191" s="146"/>
      <c r="H191" s="146"/>
      <c r="I191" s="55"/>
      <c r="J191" s="63"/>
      <c r="L191" s="27"/>
      <c r="M191" s="27"/>
      <c r="N191" s="27"/>
      <c r="O191" s="27"/>
      <c r="P191" s="27"/>
      <c r="Q191" s="28"/>
      <c r="R191" s="28"/>
    </row>
    <row r="192" spans="1:34" ht="15.75" thickBot="1">
      <c r="A192" s="287" t="s">
        <v>231</v>
      </c>
      <c r="B192" s="171" t="s">
        <v>6</v>
      </c>
      <c r="C192" s="288">
        <f>C190*18%</f>
        <v>2880</v>
      </c>
      <c r="D192" s="372"/>
      <c r="E192" s="363"/>
      <c r="F192" s="394"/>
      <c r="G192" s="146"/>
      <c r="H192" s="146"/>
      <c r="I192" s="55"/>
      <c r="J192" s="63"/>
      <c r="L192" s="27"/>
      <c r="M192" s="27"/>
      <c r="N192" s="27"/>
      <c r="O192" s="27"/>
      <c r="P192" s="27"/>
      <c r="Q192" s="28"/>
      <c r="R192" s="28"/>
    </row>
    <row r="193" spans="1:35" ht="45.75" thickBot="1">
      <c r="A193" s="271" t="s">
        <v>125</v>
      </c>
      <c r="B193" s="289" t="s">
        <v>123</v>
      </c>
      <c r="C193" s="290">
        <f>C192</f>
        <v>2880</v>
      </c>
      <c r="D193" s="196">
        <v>0.5</v>
      </c>
      <c r="E193" s="291"/>
      <c r="F193" s="271" t="s">
        <v>124</v>
      </c>
      <c r="G193" s="146"/>
      <c r="H193" s="146"/>
      <c r="I193" s="55"/>
      <c r="J193" s="63"/>
      <c r="L193" s="27"/>
      <c r="M193" s="27"/>
      <c r="N193" s="27"/>
      <c r="O193" s="27"/>
      <c r="P193" s="27"/>
      <c r="Q193" s="28"/>
      <c r="R193" s="28"/>
    </row>
    <row r="194" spans="1:35">
      <c r="A194" s="132"/>
      <c r="B194" s="164"/>
      <c r="C194" s="283"/>
      <c r="D194" s="151"/>
      <c r="E194" s="165"/>
      <c r="F194" s="130"/>
      <c r="G194" s="146"/>
      <c r="H194" s="146"/>
      <c r="I194" s="55"/>
      <c r="J194" s="63"/>
      <c r="L194" s="27"/>
      <c r="M194" s="27"/>
      <c r="N194" s="27"/>
      <c r="O194" s="27"/>
      <c r="P194" s="27"/>
      <c r="Q194" s="28"/>
      <c r="R194" s="28"/>
    </row>
    <row r="195" spans="1:35" ht="15.75" thickBot="1">
      <c r="A195" s="367" t="s">
        <v>118</v>
      </c>
      <c r="B195" s="367"/>
      <c r="C195" s="367"/>
      <c r="D195" s="367"/>
      <c r="E195" s="367"/>
      <c r="G195" s="146"/>
      <c r="H195" s="146"/>
      <c r="I195" s="55"/>
      <c r="J195" s="63"/>
      <c r="L195" s="27"/>
      <c r="M195" s="27"/>
      <c r="N195" s="27"/>
      <c r="O195" s="27"/>
      <c r="P195" s="27"/>
      <c r="Q195" s="28"/>
      <c r="R195" s="28"/>
    </row>
    <row r="196" spans="1:35" ht="27" thickTop="1" thickBot="1">
      <c r="A196" s="140" t="s">
        <v>0</v>
      </c>
      <c r="B196" s="167" t="s">
        <v>1</v>
      </c>
      <c r="C196" s="168" t="s">
        <v>2</v>
      </c>
      <c r="D196" s="169" t="s">
        <v>3</v>
      </c>
      <c r="E196" s="170" t="s">
        <v>4</v>
      </c>
      <c r="F196" s="145" t="s">
        <v>25</v>
      </c>
      <c r="G196" s="146"/>
      <c r="H196" s="146"/>
      <c r="I196" s="55"/>
      <c r="J196" s="63"/>
      <c r="L196" s="27"/>
      <c r="M196" s="27"/>
      <c r="N196" s="27"/>
      <c r="O196" s="27"/>
      <c r="P196" s="27"/>
      <c r="Q196" s="28"/>
      <c r="R196" s="28"/>
    </row>
    <row r="197" spans="1:35" ht="60">
      <c r="A197" s="292" t="s">
        <v>115</v>
      </c>
      <c r="B197" s="293" t="s">
        <v>5</v>
      </c>
      <c r="C197" s="294">
        <f>5000*4</f>
        <v>20000</v>
      </c>
      <c r="D197" s="360">
        <v>0.5</v>
      </c>
      <c r="E197" s="389"/>
      <c r="F197" s="392" t="s">
        <v>259</v>
      </c>
      <c r="G197" s="146"/>
      <c r="H197" s="146"/>
      <c r="I197" s="55"/>
      <c r="J197" s="77">
        <f>C197</f>
        <v>20000</v>
      </c>
      <c r="K197" s="70"/>
      <c r="L197" s="27"/>
      <c r="M197" s="27"/>
      <c r="N197" s="27"/>
      <c r="O197" s="42"/>
      <c r="P197" s="27"/>
      <c r="Q197" s="28"/>
      <c r="R197" s="28"/>
      <c r="S197" s="31"/>
      <c r="W197" s="31"/>
      <c r="AA197" s="31"/>
      <c r="AE197" s="31"/>
      <c r="AI197" s="31"/>
    </row>
    <row r="198" spans="1:35" ht="15.75" thickBot="1">
      <c r="A198" s="287" t="s">
        <v>77</v>
      </c>
      <c r="B198" s="266" t="s">
        <v>6</v>
      </c>
      <c r="C198" s="295">
        <f>C197*0%</f>
        <v>0</v>
      </c>
      <c r="D198" s="372"/>
      <c r="E198" s="390"/>
      <c r="F198" s="394"/>
      <c r="G198" s="146"/>
      <c r="H198" s="146"/>
      <c r="I198" s="55"/>
      <c r="J198" s="63"/>
      <c r="L198" s="27"/>
      <c r="M198" s="27"/>
      <c r="N198" s="27"/>
      <c r="O198" s="27"/>
      <c r="P198" s="27"/>
      <c r="Q198" s="28"/>
      <c r="R198" s="28"/>
    </row>
    <row r="199" spans="1:35">
      <c r="A199" s="296"/>
      <c r="B199" s="297"/>
      <c r="C199" s="298"/>
      <c r="D199" s="299"/>
      <c r="E199" s="300"/>
      <c r="F199" s="130"/>
      <c r="G199" s="146"/>
      <c r="H199" s="146"/>
      <c r="I199" s="55"/>
      <c r="J199" s="63"/>
      <c r="L199" s="27"/>
      <c r="M199" s="27"/>
      <c r="N199" s="27"/>
      <c r="O199" s="27"/>
      <c r="P199" s="27"/>
      <c r="Q199" s="28"/>
      <c r="R199" s="28"/>
    </row>
    <row r="200" spans="1:35" ht="15.75" thickBot="1">
      <c r="A200" s="409" t="s">
        <v>119</v>
      </c>
      <c r="B200" s="410"/>
      <c r="C200" s="410"/>
      <c r="D200" s="410"/>
      <c r="E200" s="411"/>
      <c r="G200" s="146"/>
      <c r="H200" s="146"/>
      <c r="I200" s="55"/>
      <c r="J200" s="63"/>
      <c r="L200" s="27"/>
      <c r="M200" s="27"/>
      <c r="N200" s="27"/>
      <c r="O200" s="27"/>
      <c r="P200" s="27"/>
      <c r="Q200" s="28"/>
      <c r="R200" s="28"/>
    </row>
    <row r="201" spans="1:35" ht="27" thickTop="1" thickBot="1">
      <c r="A201" s="301" t="s">
        <v>0</v>
      </c>
      <c r="B201" s="167" t="s">
        <v>1</v>
      </c>
      <c r="C201" s="168" t="s">
        <v>2</v>
      </c>
      <c r="D201" s="169" t="s">
        <v>3</v>
      </c>
      <c r="E201" s="302" t="s">
        <v>4</v>
      </c>
      <c r="F201" s="145" t="s">
        <v>25</v>
      </c>
      <c r="G201" s="146"/>
      <c r="H201" s="146"/>
      <c r="I201" s="55"/>
      <c r="J201" s="63"/>
      <c r="L201" s="27"/>
      <c r="M201" s="27"/>
      <c r="N201" s="27"/>
      <c r="O201" s="27"/>
      <c r="P201" s="27"/>
      <c r="Q201" s="28"/>
      <c r="R201" s="28"/>
    </row>
    <row r="202" spans="1:35" ht="45">
      <c r="A202" s="292" t="s">
        <v>220</v>
      </c>
      <c r="B202" s="293" t="s">
        <v>5</v>
      </c>
      <c r="C202" s="294">
        <f>5000*4</f>
        <v>20000</v>
      </c>
      <c r="D202" s="360">
        <v>0.5</v>
      </c>
      <c r="E202" s="412"/>
      <c r="F202" s="392" t="s">
        <v>260</v>
      </c>
      <c r="G202" s="146"/>
      <c r="H202" s="146"/>
      <c r="I202" s="55"/>
      <c r="J202" s="63"/>
      <c r="L202" s="27"/>
      <c r="M202" s="27"/>
      <c r="N202" s="27"/>
      <c r="O202" s="27"/>
      <c r="P202" s="27"/>
      <c r="Q202" s="28"/>
      <c r="R202" s="28"/>
    </row>
    <row r="203" spans="1:35" ht="15.75" thickBot="1">
      <c r="A203" s="303" t="s">
        <v>122</v>
      </c>
      <c r="B203" s="266" t="s">
        <v>6</v>
      </c>
      <c r="C203" s="295">
        <f>C202*18%</f>
        <v>3600</v>
      </c>
      <c r="D203" s="372"/>
      <c r="E203" s="413"/>
      <c r="F203" s="393"/>
      <c r="G203" s="146"/>
      <c r="H203" s="146"/>
      <c r="I203" s="55"/>
      <c r="J203" s="63"/>
      <c r="L203" s="27"/>
      <c r="M203" s="27"/>
      <c r="N203" s="27"/>
      <c r="O203" s="27"/>
      <c r="P203" s="27"/>
      <c r="Q203" s="28"/>
      <c r="R203" s="28"/>
    </row>
    <row r="204" spans="1:35" ht="45.75" thickBot="1">
      <c r="A204" s="304" t="s">
        <v>125</v>
      </c>
      <c r="B204" s="305" t="s">
        <v>123</v>
      </c>
      <c r="C204" s="306">
        <f>C203</f>
        <v>3600</v>
      </c>
      <c r="D204" s="307">
        <v>0.5</v>
      </c>
      <c r="E204" s="308"/>
      <c r="F204" s="271" t="s">
        <v>124</v>
      </c>
      <c r="G204" s="146"/>
      <c r="H204" s="146"/>
      <c r="I204" s="55"/>
      <c r="J204" s="63"/>
      <c r="L204" s="27"/>
      <c r="M204" s="27"/>
      <c r="N204" s="27"/>
      <c r="O204" s="27"/>
      <c r="P204" s="27"/>
      <c r="Q204" s="28"/>
      <c r="R204" s="28"/>
    </row>
    <row r="205" spans="1:35">
      <c r="A205" s="132"/>
      <c r="B205" s="164"/>
      <c r="C205" s="283"/>
      <c r="D205" s="151"/>
      <c r="E205" s="165"/>
      <c r="F205" s="130"/>
      <c r="G205" s="146"/>
      <c r="H205" s="146"/>
      <c r="I205" s="55"/>
      <c r="J205" s="63"/>
      <c r="L205" s="27"/>
      <c r="M205" s="27"/>
      <c r="N205" s="27"/>
      <c r="O205" s="27"/>
      <c r="P205" s="27"/>
      <c r="Q205" s="28"/>
      <c r="R205" s="28"/>
    </row>
    <row r="206" spans="1:35" ht="15.75" thickBot="1">
      <c r="A206" s="367" t="s">
        <v>120</v>
      </c>
      <c r="B206" s="367"/>
      <c r="C206" s="367"/>
      <c r="D206" s="367"/>
      <c r="E206" s="367"/>
      <c r="G206" s="146"/>
      <c r="H206" s="146"/>
      <c r="I206" s="55"/>
      <c r="J206" s="63"/>
      <c r="L206" s="27"/>
      <c r="M206" s="27"/>
      <c r="N206" s="27"/>
      <c r="O206" s="27"/>
      <c r="P206" s="27"/>
      <c r="Q206" s="28"/>
      <c r="R206" s="28"/>
    </row>
    <row r="207" spans="1:35" ht="27" thickTop="1" thickBot="1">
      <c r="A207" s="140" t="s">
        <v>0</v>
      </c>
      <c r="B207" s="167" t="s">
        <v>1</v>
      </c>
      <c r="C207" s="142" t="s">
        <v>2</v>
      </c>
      <c r="D207" s="169" t="s">
        <v>3</v>
      </c>
      <c r="E207" s="144" t="s">
        <v>4</v>
      </c>
      <c r="F207" s="145" t="s">
        <v>25</v>
      </c>
      <c r="G207" s="146"/>
      <c r="H207" s="146"/>
      <c r="I207" s="55"/>
      <c r="J207" s="63"/>
      <c r="L207" s="27"/>
      <c r="M207" s="27"/>
      <c r="N207" s="27"/>
      <c r="O207" s="27"/>
      <c r="P207" s="27"/>
      <c r="Q207" s="28"/>
      <c r="R207" s="28"/>
    </row>
    <row r="208" spans="1:35">
      <c r="A208" s="377" t="s">
        <v>232</v>
      </c>
      <c r="B208" s="164" t="s">
        <v>8</v>
      </c>
      <c r="C208" s="379">
        <f>20000-5000*3.35</f>
        <v>3250</v>
      </c>
      <c r="D208" s="382">
        <v>0.5</v>
      </c>
      <c r="E208" s="385"/>
      <c r="F208" s="392" t="s">
        <v>261</v>
      </c>
      <c r="G208" s="146"/>
      <c r="H208" s="146"/>
      <c r="I208" s="55"/>
      <c r="J208" s="63"/>
      <c r="L208" s="27"/>
      <c r="M208" s="27"/>
      <c r="N208" s="27"/>
      <c r="O208" s="27"/>
      <c r="P208" s="27"/>
      <c r="Q208" s="28"/>
      <c r="R208" s="28"/>
    </row>
    <row r="209" spans="1:18" ht="15.75" thickBot="1">
      <c r="A209" s="378"/>
      <c r="B209" s="309" t="s">
        <v>256</v>
      </c>
      <c r="C209" s="380"/>
      <c r="D209" s="383"/>
      <c r="E209" s="386"/>
      <c r="F209" s="393"/>
      <c r="G209" s="146"/>
      <c r="H209" s="146"/>
      <c r="I209" s="55"/>
      <c r="J209" s="63"/>
      <c r="L209" s="27"/>
      <c r="M209" s="27"/>
      <c r="N209" s="27"/>
      <c r="O209" s="27"/>
      <c r="P209" s="27"/>
      <c r="Q209" s="28"/>
      <c r="R209" s="28"/>
    </row>
    <row r="210" spans="1:18" ht="24.75" customHeight="1" thickBot="1">
      <c r="A210" s="310" t="s">
        <v>233</v>
      </c>
      <c r="B210" s="311" t="s">
        <v>6</v>
      </c>
      <c r="C210" s="312">
        <f>C208*18%</f>
        <v>585</v>
      </c>
      <c r="D210" s="384"/>
      <c r="E210" s="387"/>
      <c r="F210" s="394"/>
      <c r="G210" s="146"/>
      <c r="H210" s="146"/>
      <c r="I210" s="55"/>
      <c r="J210" s="63"/>
      <c r="L210" s="27"/>
      <c r="M210" s="27"/>
      <c r="N210" s="27"/>
      <c r="O210" s="27"/>
      <c r="P210" s="42"/>
      <c r="Q210" s="41"/>
      <c r="R210" s="28"/>
    </row>
    <row r="211" spans="1:18" ht="45.75" thickBot="1">
      <c r="A211" s="271" t="s">
        <v>125</v>
      </c>
      <c r="B211" s="289" t="s">
        <v>123</v>
      </c>
      <c r="C211" s="306">
        <f>C210</f>
        <v>585</v>
      </c>
      <c r="D211" s="307">
        <v>0.5</v>
      </c>
      <c r="E211" s="313"/>
      <c r="F211" s="271" t="s">
        <v>124</v>
      </c>
      <c r="G211" s="146"/>
      <c r="H211" s="146"/>
      <c r="I211" s="55"/>
      <c r="J211" s="63"/>
      <c r="L211" s="27"/>
      <c r="M211" s="27"/>
      <c r="N211" s="27"/>
      <c r="O211" s="27"/>
      <c r="P211" s="27"/>
      <c r="Q211" s="28"/>
      <c r="R211" s="41"/>
    </row>
    <row r="212" spans="1:18">
      <c r="A212" s="132"/>
      <c r="B212" s="164"/>
      <c r="C212" s="283"/>
      <c r="D212" s="151"/>
      <c r="E212" s="165"/>
      <c r="F212" s="130"/>
      <c r="G212" s="146"/>
      <c r="H212" s="146"/>
      <c r="I212" s="55"/>
      <c r="J212" s="63"/>
      <c r="L212" s="27"/>
      <c r="M212" s="27"/>
      <c r="N212" s="27"/>
      <c r="O212" s="27"/>
      <c r="P212" s="27"/>
      <c r="Q212" s="28"/>
      <c r="R212" s="28"/>
    </row>
    <row r="213" spans="1:18" ht="15.75" thickBot="1">
      <c r="A213" s="367" t="s">
        <v>121</v>
      </c>
      <c r="B213" s="367"/>
      <c r="C213" s="367"/>
      <c r="D213" s="367"/>
      <c r="E213" s="367"/>
      <c r="G213" s="146"/>
      <c r="H213" s="146"/>
      <c r="I213" s="55"/>
      <c r="J213" s="63"/>
      <c r="L213" s="27"/>
      <c r="M213" s="27"/>
      <c r="N213" s="27"/>
      <c r="O213" s="27"/>
      <c r="P213" s="27"/>
      <c r="Q213" s="28"/>
      <c r="R213" s="28"/>
    </row>
    <row r="214" spans="1:18" ht="31.5" customHeight="1" thickTop="1" thickBot="1">
      <c r="A214" s="140" t="s">
        <v>0</v>
      </c>
      <c r="B214" s="167" t="s">
        <v>1</v>
      </c>
      <c r="C214" s="142" t="s">
        <v>2</v>
      </c>
      <c r="D214" s="169" t="s">
        <v>3</v>
      </c>
      <c r="E214" s="144" t="s">
        <v>4</v>
      </c>
      <c r="F214" s="145" t="s">
        <v>25</v>
      </c>
      <c r="G214" s="146"/>
      <c r="H214" s="146"/>
      <c r="I214" s="55"/>
      <c r="J214" s="63"/>
      <c r="L214" s="27"/>
      <c r="M214" s="27"/>
      <c r="N214" s="27"/>
      <c r="O214" s="27"/>
      <c r="P214" s="27"/>
      <c r="Q214" s="28"/>
      <c r="R214" s="28"/>
    </row>
    <row r="215" spans="1:18">
      <c r="A215" s="381" t="s">
        <v>234</v>
      </c>
      <c r="B215" s="164" t="s">
        <v>8</v>
      </c>
      <c r="C215" s="379">
        <f>45000-12*3.35</f>
        <v>44959.8</v>
      </c>
      <c r="D215" s="382">
        <v>0.5</v>
      </c>
      <c r="E215" s="385"/>
      <c r="F215" s="392" t="s">
        <v>262</v>
      </c>
      <c r="G215" s="146"/>
      <c r="H215" s="146"/>
      <c r="I215" s="55"/>
      <c r="J215" s="63"/>
      <c r="L215" s="27"/>
      <c r="M215" s="27"/>
      <c r="N215" s="27"/>
      <c r="O215" s="27"/>
      <c r="P215" s="27"/>
      <c r="Q215" s="28"/>
      <c r="R215" s="28"/>
    </row>
    <row r="216" spans="1:18" ht="15.75" thickBot="1">
      <c r="A216" s="378"/>
      <c r="B216" s="309" t="s">
        <v>256</v>
      </c>
      <c r="C216" s="380"/>
      <c r="D216" s="383"/>
      <c r="E216" s="386"/>
      <c r="F216" s="393"/>
      <c r="G216" s="146"/>
      <c r="H216" s="146"/>
      <c r="I216" s="55"/>
      <c r="J216" s="63"/>
      <c r="L216" s="27"/>
      <c r="M216" s="27"/>
      <c r="N216" s="27"/>
      <c r="O216" s="27"/>
      <c r="P216" s="27"/>
      <c r="Q216" s="28"/>
      <c r="R216" s="28"/>
    </row>
    <row r="217" spans="1:18" ht="26.25" customHeight="1" thickBot="1">
      <c r="A217" s="310" t="s">
        <v>235</v>
      </c>
      <c r="B217" s="311" t="s">
        <v>6</v>
      </c>
      <c r="C217" s="312">
        <f>C215*18%</f>
        <v>8092.7640000000001</v>
      </c>
      <c r="D217" s="384"/>
      <c r="E217" s="387"/>
      <c r="F217" s="394"/>
      <c r="G217" s="146"/>
      <c r="H217" s="146"/>
      <c r="I217" s="55"/>
      <c r="J217" s="63"/>
      <c r="L217" s="27"/>
      <c r="M217" s="27"/>
      <c r="N217" s="27"/>
      <c r="O217" s="27"/>
      <c r="P217" s="42"/>
      <c r="Q217" s="41"/>
      <c r="R217" s="28"/>
    </row>
    <row r="218" spans="1:18" ht="45.75" thickBot="1">
      <c r="A218" s="271" t="s">
        <v>125</v>
      </c>
      <c r="B218" s="289" t="s">
        <v>123</v>
      </c>
      <c r="C218" s="306">
        <f>C217</f>
        <v>8092.7640000000001</v>
      </c>
      <c r="D218" s="307">
        <v>0.5</v>
      </c>
      <c r="E218" s="313"/>
      <c r="F218" s="271" t="s">
        <v>124</v>
      </c>
      <c r="G218" s="146"/>
      <c r="H218" s="146"/>
      <c r="I218" s="55"/>
      <c r="J218" s="63"/>
      <c r="L218" s="27"/>
      <c r="M218" s="27"/>
      <c r="N218" s="27"/>
      <c r="O218" s="27"/>
      <c r="P218" s="27"/>
      <c r="Q218" s="28"/>
      <c r="R218" s="41"/>
    </row>
    <row r="219" spans="1:18" ht="26.25" customHeight="1">
      <c r="A219" s="130"/>
      <c r="B219" s="164"/>
      <c r="C219" s="283"/>
      <c r="D219" s="151"/>
      <c r="E219" s="314"/>
      <c r="F219" s="130"/>
      <c r="G219" s="146"/>
      <c r="H219" s="146"/>
      <c r="I219" s="55"/>
      <c r="J219" s="63"/>
      <c r="L219" s="27"/>
      <c r="M219" s="27"/>
      <c r="N219" s="27"/>
      <c r="O219" s="27"/>
      <c r="P219" s="28"/>
      <c r="Q219" s="28"/>
      <c r="R219" s="28"/>
    </row>
    <row r="220" spans="1:18" ht="26.25" customHeight="1">
      <c r="A220" s="375" t="s">
        <v>128</v>
      </c>
      <c r="B220" s="375"/>
      <c r="C220" s="375"/>
      <c r="D220" s="375"/>
      <c r="E220" s="375"/>
      <c r="F220" s="375"/>
      <c r="G220" s="146"/>
      <c r="H220" s="146"/>
      <c r="I220" s="55"/>
      <c r="J220" s="63"/>
      <c r="L220" s="27"/>
      <c r="M220" s="27"/>
      <c r="N220" s="27"/>
      <c r="O220" s="27"/>
      <c r="P220" s="27"/>
      <c r="Q220" s="28"/>
      <c r="R220" s="28"/>
    </row>
    <row r="221" spans="1:18">
      <c r="A221" s="315" t="s">
        <v>11</v>
      </c>
      <c r="G221" s="146"/>
      <c r="H221" s="146"/>
      <c r="I221" s="55"/>
      <c r="J221" s="63"/>
      <c r="L221" s="27"/>
      <c r="M221" s="27"/>
      <c r="N221" s="27"/>
      <c r="O221" s="27"/>
      <c r="P221" s="27"/>
      <c r="Q221" s="28"/>
      <c r="R221" s="28"/>
    </row>
    <row r="222" spans="1:18" ht="15.75" thickBot="1">
      <c r="A222" s="376" t="s">
        <v>129</v>
      </c>
      <c r="B222" s="367"/>
      <c r="C222" s="367"/>
      <c r="D222" s="367"/>
      <c r="E222" s="367"/>
      <c r="G222" s="146"/>
      <c r="H222" s="146"/>
      <c r="I222" s="55"/>
      <c r="J222" s="63"/>
      <c r="L222" s="27"/>
      <c r="M222" s="27"/>
      <c r="N222" s="27"/>
      <c r="O222" s="27"/>
      <c r="P222" s="27"/>
      <c r="Q222" s="28"/>
      <c r="R222" s="28"/>
    </row>
    <row r="223" spans="1:18" ht="27" thickTop="1" thickBot="1">
      <c r="A223" s="166" t="s">
        <v>0</v>
      </c>
      <c r="B223" s="167" t="s">
        <v>1</v>
      </c>
      <c r="C223" s="168" t="s">
        <v>2</v>
      </c>
      <c r="D223" s="169" t="s">
        <v>3</v>
      </c>
      <c r="E223" s="175" t="s">
        <v>4</v>
      </c>
      <c r="F223" s="145" t="s">
        <v>25</v>
      </c>
      <c r="G223" s="146"/>
      <c r="H223" s="146"/>
      <c r="I223" s="55"/>
      <c r="J223" s="63"/>
      <c r="L223" s="27"/>
      <c r="M223" s="27"/>
      <c r="N223" s="27"/>
      <c r="O223" s="27"/>
      <c r="P223" s="27"/>
      <c r="Q223" s="28"/>
      <c r="R223" s="28"/>
    </row>
    <row r="224" spans="1:18" ht="30.75" thickBot="1">
      <c r="A224" s="264" t="s">
        <v>12</v>
      </c>
      <c r="B224" s="177" t="s">
        <v>13</v>
      </c>
      <c r="C224" s="173">
        <v>14850</v>
      </c>
      <c r="D224" s="173">
        <v>1</v>
      </c>
      <c r="E224" s="316"/>
      <c r="F224" s="252" t="s">
        <v>263</v>
      </c>
      <c r="G224" s="146"/>
      <c r="H224" s="146"/>
      <c r="I224" s="55"/>
      <c r="J224" s="63"/>
      <c r="L224" s="27"/>
      <c r="M224" s="27"/>
      <c r="N224" s="27"/>
      <c r="O224" s="27"/>
      <c r="P224" s="35"/>
      <c r="Q224" s="38"/>
      <c r="R224" s="28"/>
    </row>
    <row r="225" spans="1:18" ht="26.25" thickBot="1">
      <c r="A225" s="264" t="s">
        <v>14</v>
      </c>
      <c r="B225" s="177" t="s">
        <v>15</v>
      </c>
      <c r="C225" s="173">
        <v>1782</v>
      </c>
      <c r="D225" s="173">
        <v>0.5</v>
      </c>
      <c r="E225" s="178"/>
      <c r="F225" s="252" t="s">
        <v>32</v>
      </c>
      <c r="G225" s="146"/>
      <c r="H225" s="146"/>
      <c r="I225" s="55"/>
      <c r="J225" s="63"/>
      <c r="L225" s="27"/>
      <c r="M225" s="27"/>
      <c r="N225" s="27"/>
      <c r="O225" s="27"/>
      <c r="P225" s="27"/>
      <c r="Q225" s="28"/>
      <c r="R225" s="28"/>
    </row>
    <row r="226" spans="1:18" ht="28.5" customHeight="1" thickBot="1">
      <c r="A226" s="264" t="s">
        <v>16</v>
      </c>
      <c r="B226" s="171" t="s">
        <v>5</v>
      </c>
      <c r="C226" s="173">
        <v>16632</v>
      </c>
      <c r="D226" s="173">
        <v>0.5</v>
      </c>
      <c r="E226" s="178"/>
      <c r="F226" s="373" t="s">
        <v>264</v>
      </c>
      <c r="G226" s="146"/>
      <c r="H226" s="146"/>
      <c r="I226" s="55"/>
      <c r="J226" s="63"/>
      <c r="L226" s="27"/>
      <c r="M226" s="27"/>
      <c r="N226" s="27"/>
      <c r="O226" s="27"/>
      <c r="P226" s="27"/>
      <c r="Q226" s="28"/>
      <c r="R226" s="28"/>
    </row>
    <row r="227" spans="1:18" ht="15.75" thickBot="1">
      <c r="A227" s="264" t="s">
        <v>17</v>
      </c>
      <c r="B227" s="171" t="s">
        <v>6</v>
      </c>
      <c r="C227" s="173">
        <v>2993.76</v>
      </c>
      <c r="D227" s="173">
        <v>0.5</v>
      </c>
      <c r="E227" s="178"/>
      <c r="F227" s="374"/>
      <c r="G227" s="146"/>
      <c r="H227" s="146"/>
      <c r="I227" s="55"/>
      <c r="J227" s="63"/>
      <c r="L227" s="27"/>
      <c r="M227" s="27"/>
      <c r="N227" s="27"/>
      <c r="O227" s="27"/>
      <c r="P227" s="27"/>
      <c r="Q227" s="28"/>
      <c r="R227" s="28"/>
    </row>
    <row r="228" spans="1:18">
      <c r="A228" s="151"/>
      <c r="B228" s="164"/>
      <c r="C228" s="151"/>
      <c r="D228" s="151"/>
      <c r="E228" s="165"/>
      <c r="F228" s="198"/>
      <c r="G228" s="146"/>
      <c r="H228" s="146"/>
      <c r="I228" s="55"/>
      <c r="J228" s="63"/>
      <c r="L228" s="27"/>
      <c r="M228" s="27"/>
      <c r="N228" s="27"/>
      <c r="O228" s="27"/>
      <c r="P228" s="27"/>
      <c r="Q228" s="28"/>
      <c r="R228" s="28"/>
    </row>
    <row r="229" spans="1:18" ht="15.75" thickBot="1">
      <c r="A229" s="376" t="s">
        <v>137</v>
      </c>
      <c r="B229" s="367"/>
      <c r="C229" s="367"/>
      <c r="D229" s="367"/>
      <c r="E229" s="367"/>
      <c r="G229" s="146"/>
      <c r="H229" s="146"/>
      <c r="I229" s="55"/>
      <c r="J229" s="63"/>
      <c r="L229" s="27"/>
      <c r="M229" s="27"/>
      <c r="N229" s="27"/>
      <c r="O229" s="27"/>
      <c r="P229" s="27"/>
      <c r="Q229" s="28"/>
      <c r="R229" s="28"/>
    </row>
    <row r="230" spans="1:18" ht="26.25" thickBot="1">
      <c r="A230" s="317" t="s">
        <v>0</v>
      </c>
      <c r="B230" s="185" t="s">
        <v>1</v>
      </c>
      <c r="C230" s="186" t="s">
        <v>2</v>
      </c>
      <c r="D230" s="318" t="s">
        <v>3</v>
      </c>
      <c r="E230" s="319" t="s">
        <v>4</v>
      </c>
      <c r="F230" s="145" t="s">
        <v>25</v>
      </c>
      <c r="G230" s="146"/>
      <c r="H230" s="146"/>
      <c r="I230" s="55"/>
      <c r="J230" s="63"/>
      <c r="L230" s="27"/>
      <c r="M230" s="27"/>
      <c r="N230" s="27"/>
      <c r="O230" s="27"/>
      <c r="P230" s="27"/>
      <c r="Q230" s="28"/>
      <c r="R230" s="28"/>
    </row>
    <row r="231" spans="1:18" ht="38.25">
      <c r="A231" s="320" t="s">
        <v>265</v>
      </c>
      <c r="B231" s="153" t="s">
        <v>130</v>
      </c>
      <c r="C231" s="321">
        <f>C233+C232</f>
        <v>174720</v>
      </c>
      <c r="D231" s="235">
        <v>0.5</v>
      </c>
      <c r="E231" s="322"/>
      <c r="F231" s="439" t="s">
        <v>263</v>
      </c>
      <c r="G231" s="146"/>
      <c r="H231" s="146"/>
      <c r="I231" s="55"/>
      <c r="J231" s="63"/>
      <c r="L231" s="27"/>
      <c r="M231" s="27"/>
      <c r="N231" s="27"/>
      <c r="O231" s="27"/>
      <c r="P231" s="27"/>
      <c r="Q231" s="28"/>
      <c r="R231" s="28"/>
    </row>
    <row r="232" spans="1:18" ht="15" customHeight="1">
      <c r="A232" s="320" t="s">
        <v>131</v>
      </c>
      <c r="B232" s="153" t="s">
        <v>132</v>
      </c>
      <c r="C232" s="323">
        <f>20000*6.72</f>
        <v>134400</v>
      </c>
      <c r="D232" s="324">
        <v>0.5</v>
      </c>
      <c r="E232" s="322"/>
      <c r="F232" s="440"/>
      <c r="G232" s="146"/>
      <c r="H232" s="146"/>
      <c r="I232" s="55"/>
      <c r="J232" s="63"/>
      <c r="L232" s="27"/>
      <c r="M232" s="27"/>
      <c r="N232" s="27"/>
      <c r="O232" s="27"/>
      <c r="P232" s="27"/>
      <c r="Q232" s="28"/>
      <c r="R232" s="28"/>
    </row>
    <row r="233" spans="1:18" ht="30.75" thickBot="1">
      <c r="A233" s="320" t="s">
        <v>221</v>
      </c>
      <c r="B233" s="153" t="s">
        <v>133</v>
      </c>
      <c r="C233" s="323">
        <f>5000*6.72*1.2</f>
        <v>40320</v>
      </c>
      <c r="D233" s="324">
        <v>0.5</v>
      </c>
      <c r="E233" s="322"/>
      <c r="F233" s="441"/>
      <c r="G233" s="146"/>
      <c r="H233" s="146"/>
      <c r="I233" s="55"/>
      <c r="J233" s="63"/>
      <c r="K233" s="70"/>
      <c r="L233" s="27"/>
      <c r="M233" s="27"/>
      <c r="N233" s="27"/>
      <c r="O233" s="27"/>
      <c r="P233" s="27"/>
      <c r="Q233" s="28"/>
      <c r="R233" s="28"/>
    </row>
    <row r="234" spans="1:18" ht="30.75" thickBot="1">
      <c r="A234" s="320" t="s">
        <v>134</v>
      </c>
      <c r="B234" s="325" t="s">
        <v>15</v>
      </c>
      <c r="C234" s="192">
        <f>C232*5%+C233*12%</f>
        <v>11558.4</v>
      </c>
      <c r="D234" s="324">
        <v>0.5</v>
      </c>
      <c r="E234" s="322"/>
      <c r="F234" s="252" t="s">
        <v>32</v>
      </c>
      <c r="G234" s="146"/>
      <c r="H234" s="146"/>
      <c r="I234" s="55"/>
      <c r="J234" s="63"/>
      <c r="L234" s="27"/>
      <c r="M234" s="27"/>
      <c r="N234" s="27"/>
      <c r="O234" s="27"/>
      <c r="P234" s="27"/>
      <c r="Q234" s="28"/>
      <c r="R234" s="28"/>
    </row>
    <row r="235" spans="1:18" ht="30">
      <c r="A235" s="320" t="s">
        <v>135</v>
      </c>
      <c r="B235" s="150" t="s">
        <v>136</v>
      </c>
      <c r="C235" s="191">
        <f>(C231+C234)</f>
        <v>186278.39999999999</v>
      </c>
      <c r="D235" s="235">
        <v>0.5</v>
      </c>
      <c r="E235" s="235"/>
      <c r="F235" s="373" t="s">
        <v>264</v>
      </c>
      <c r="G235" s="158"/>
      <c r="H235" s="146"/>
      <c r="I235" s="55"/>
      <c r="J235" s="63"/>
      <c r="L235" s="27"/>
      <c r="M235" s="27"/>
      <c r="N235" s="27"/>
      <c r="O235" s="27"/>
      <c r="P235" s="27"/>
      <c r="Q235" s="28"/>
      <c r="R235" s="28"/>
    </row>
    <row r="236" spans="1:18" ht="15.75" thickBot="1">
      <c r="A236" s="326"/>
      <c r="B236" s="160" t="s">
        <v>6</v>
      </c>
      <c r="C236" s="327">
        <f>C235*18%</f>
        <v>33530.112000000001</v>
      </c>
      <c r="D236" s="328">
        <v>0.5</v>
      </c>
      <c r="E236" s="329"/>
      <c r="F236" s="374"/>
      <c r="G236" s="146"/>
      <c r="H236" s="146"/>
      <c r="I236" s="55"/>
      <c r="J236" s="63"/>
      <c r="L236" s="27"/>
      <c r="M236" s="27"/>
      <c r="N236" s="27"/>
      <c r="O236" s="27"/>
      <c r="P236" s="27"/>
      <c r="Q236" s="28"/>
      <c r="R236" s="38"/>
    </row>
    <row r="237" spans="1:18">
      <c r="A237" s="151"/>
      <c r="B237" s="164"/>
      <c r="C237" s="151"/>
      <c r="D237" s="151"/>
      <c r="E237" s="165"/>
      <c r="F237" s="198"/>
      <c r="G237" s="146"/>
      <c r="H237" s="146"/>
      <c r="I237" s="55"/>
      <c r="J237" s="63"/>
      <c r="L237" s="27"/>
      <c r="M237" s="27"/>
      <c r="N237" s="27"/>
      <c r="O237" s="27"/>
      <c r="P237" s="27"/>
      <c r="Q237" s="28"/>
      <c r="R237" s="28"/>
    </row>
    <row r="238" spans="1:18" ht="15.75" customHeight="1" thickBot="1">
      <c r="A238" s="366" t="s">
        <v>140</v>
      </c>
      <c r="B238" s="366"/>
      <c r="C238" s="366"/>
      <c r="D238" s="366"/>
      <c r="E238" s="366"/>
      <c r="F238" s="366"/>
      <c r="G238" s="146"/>
      <c r="H238" s="146"/>
      <c r="I238" s="55"/>
      <c r="J238" s="63"/>
      <c r="K238" s="73"/>
      <c r="L238" s="27"/>
      <c r="M238" s="27"/>
      <c r="N238" s="27"/>
      <c r="O238" s="27"/>
      <c r="P238" s="27"/>
      <c r="Q238" s="28"/>
      <c r="R238" s="28"/>
    </row>
    <row r="239" spans="1:18" ht="25.5">
      <c r="A239" s="184" t="s">
        <v>0</v>
      </c>
      <c r="B239" s="153" t="s">
        <v>1</v>
      </c>
      <c r="C239" s="330" t="s">
        <v>2</v>
      </c>
      <c r="D239" s="187" t="s">
        <v>3</v>
      </c>
      <c r="E239" s="190" t="s">
        <v>4</v>
      </c>
      <c r="F239" s="145" t="s">
        <v>25</v>
      </c>
      <c r="G239" s="146"/>
      <c r="H239" s="146"/>
      <c r="I239" s="55"/>
      <c r="J239" s="63"/>
      <c r="L239" s="27"/>
      <c r="M239" s="27"/>
      <c r="N239" s="27"/>
      <c r="O239" s="27"/>
      <c r="P239" s="27"/>
      <c r="Q239" s="28"/>
      <c r="R239" s="28"/>
    </row>
    <row r="240" spans="1:18" ht="31.5" customHeight="1">
      <c r="A240" s="331" t="s">
        <v>222</v>
      </c>
      <c r="B240" s="153" t="s">
        <v>138</v>
      </c>
      <c r="C240" s="332">
        <f>5000*87%*7.5</f>
        <v>32625</v>
      </c>
      <c r="D240" s="333">
        <v>0.5</v>
      </c>
      <c r="E240" s="190"/>
      <c r="F240" s="334" t="s">
        <v>266</v>
      </c>
      <c r="G240" s="146"/>
      <c r="H240" s="146"/>
      <c r="I240" s="55"/>
      <c r="J240" s="63"/>
      <c r="L240" s="27"/>
      <c r="M240" s="27"/>
      <c r="N240" s="27"/>
      <c r="O240" s="27"/>
      <c r="P240" s="27"/>
      <c r="Q240" s="28"/>
      <c r="R240" s="28"/>
    </row>
    <row r="241" spans="1:18" ht="27.75">
      <c r="A241" s="335" t="s">
        <v>267</v>
      </c>
      <c r="B241" s="150" t="s">
        <v>18</v>
      </c>
      <c r="C241" s="235">
        <f>6000*0.5*87%*7.5</f>
        <v>19575</v>
      </c>
      <c r="D241" s="235">
        <v>0.5</v>
      </c>
      <c r="E241" s="336"/>
      <c r="F241" s="334" t="s">
        <v>268</v>
      </c>
      <c r="G241" s="146"/>
      <c r="H241" s="146"/>
      <c r="I241" s="55"/>
      <c r="J241" s="63"/>
      <c r="L241" s="27"/>
      <c r="M241" s="27"/>
      <c r="N241" s="27"/>
      <c r="O241" s="27"/>
      <c r="P241" s="27"/>
      <c r="Q241" s="28"/>
      <c r="R241" s="28"/>
    </row>
    <row r="242" spans="1:18" ht="47.25" customHeight="1">
      <c r="A242" s="335" t="s">
        <v>141</v>
      </c>
      <c r="B242" s="150" t="s">
        <v>123</v>
      </c>
      <c r="C242" s="192">
        <f>135000/1.18*18%</f>
        <v>20593.220338983054</v>
      </c>
      <c r="D242" s="324">
        <v>0.5</v>
      </c>
      <c r="E242" s="337"/>
      <c r="F242" s="334" t="s">
        <v>144</v>
      </c>
      <c r="G242" s="146"/>
      <c r="H242" s="146"/>
      <c r="I242" s="55"/>
      <c r="J242" s="63"/>
      <c r="L242" s="27"/>
      <c r="M242" s="27"/>
      <c r="N242" s="27"/>
      <c r="O242" s="27"/>
      <c r="P242" s="27"/>
      <c r="Q242" s="28"/>
      <c r="R242" s="38"/>
    </row>
    <row r="243" spans="1:18">
      <c r="A243" s="338"/>
      <c r="B243" s="338"/>
      <c r="C243" s="338"/>
      <c r="D243" s="338"/>
      <c r="E243" s="338"/>
      <c r="F243" s="338"/>
      <c r="G243" s="146"/>
      <c r="H243" s="146"/>
      <c r="I243" s="55"/>
      <c r="J243" s="63"/>
      <c r="L243" s="27"/>
      <c r="M243" s="27"/>
      <c r="N243" s="27"/>
      <c r="O243" s="27"/>
      <c r="P243" s="27"/>
      <c r="Q243" s="28"/>
      <c r="R243" s="28"/>
    </row>
    <row r="244" spans="1:18" ht="15.75" customHeight="1" thickBot="1">
      <c r="A244" s="365" t="s">
        <v>139</v>
      </c>
      <c r="B244" s="365"/>
      <c r="C244" s="365"/>
      <c r="D244" s="365"/>
      <c r="E244" s="365"/>
      <c r="F244" s="365"/>
      <c r="G244" s="146"/>
      <c r="H244" s="146"/>
      <c r="I244" s="55"/>
      <c r="J244" s="63"/>
      <c r="L244" s="27"/>
      <c r="M244" s="27"/>
      <c r="N244" s="27"/>
      <c r="O244" s="27"/>
      <c r="P244" s="27"/>
      <c r="Q244" s="28"/>
      <c r="R244" s="28"/>
    </row>
    <row r="245" spans="1:18" ht="25.5">
      <c r="A245" s="339" t="s">
        <v>11</v>
      </c>
      <c r="B245" s="185" t="s">
        <v>1</v>
      </c>
      <c r="C245" s="186" t="s">
        <v>2</v>
      </c>
      <c r="D245" s="187" t="s">
        <v>3</v>
      </c>
      <c r="E245" s="190" t="s">
        <v>4</v>
      </c>
      <c r="F245" s="145" t="s">
        <v>25</v>
      </c>
      <c r="G245" s="146"/>
      <c r="H245" s="146"/>
      <c r="I245" s="55"/>
      <c r="J245" s="63"/>
      <c r="L245" s="27"/>
      <c r="M245" s="27"/>
      <c r="N245" s="27"/>
      <c r="O245" s="27"/>
      <c r="P245" s="27"/>
      <c r="Q245" s="28"/>
      <c r="R245" s="28"/>
    </row>
    <row r="246" spans="1:18" ht="25.5">
      <c r="A246" s="189" t="s">
        <v>19</v>
      </c>
      <c r="B246" s="153" t="s">
        <v>20</v>
      </c>
      <c r="C246" s="235">
        <f>4000*5</f>
        <v>20000</v>
      </c>
      <c r="D246" s="235">
        <v>0.5</v>
      </c>
      <c r="E246" s="322"/>
      <c r="F246" s="334" t="s">
        <v>175</v>
      </c>
      <c r="G246" s="146"/>
      <c r="H246" s="146"/>
      <c r="I246" s="55"/>
      <c r="J246" s="63"/>
      <c r="L246" s="27"/>
      <c r="M246" s="27"/>
      <c r="N246" s="27"/>
      <c r="O246" s="27"/>
      <c r="P246" s="27"/>
      <c r="Q246" s="28"/>
      <c r="R246" s="28"/>
    </row>
    <row r="247" spans="1:18" ht="34.5" customHeight="1">
      <c r="A247" s="189" t="s">
        <v>142</v>
      </c>
      <c r="B247" s="150" t="s">
        <v>21</v>
      </c>
      <c r="C247" s="324">
        <f>4000*0.5*40%*15</f>
        <v>12000</v>
      </c>
      <c r="D247" s="324">
        <v>0.5</v>
      </c>
      <c r="E247" s="340"/>
      <c r="F247" s="334" t="s">
        <v>145</v>
      </c>
      <c r="G247" s="146"/>
      <c r="H247" s="146"/>
      <c r="I247" s="55"/>
      <c r="J247" s="63"/>
      <c r="L247" s="27"/>
      <c r="M247" s="27"/>
      <c r="N247" s="27"/>
      <c r="O247" s="27"/>
      <c r="P247" s="27"/>
      <c r="Q247" s="28"/>
      <c r="R247" s="28"/>
    </row>
    <row r="248" spans="1:18" ht="50.25" customHeight="1">
      <c r="A248" s="423" t="s">
        <v>143</v>
      </c>
      <c r="B248" s="150" t="s">
        <v>5</v>
      </c>
      <c r="C248" s="324">
        <f>(C246+C247)</f>
        <v>32000</v>
      </c>
      <c r="D248" s="235">
        <v>0.5</v>
      </c>
      <c r="E248" s="340"/>
      <c r="F248" s="235" t="s">
        <v>176</v>
      </c>
      <c r="G248" s="146">
        <f>C248</f>
        <v>32000</v>
      </c>
      <c r="H248" s="146"/>
      <c r="I248" s="55"/>
      <c r="J248" s="63"/>
      <c r="L248" s="27"/>
      <c r="M248" s="27"/>
      <c r="N248" s="27"/>
      <c r="O248" s="27"/>
      <c r="P248" s="27"/>
      <c r="Q248" s="28"/>
      <c r="R248" s="28"/>
    </row>
    <row r="249" spans="1:18" ht="51.75" customHeight="1">
      <c r="A249" s="424"/>
      <c r="B249" s="150" t="s">
        <v>22</v>
      </c>
      <c r="C249" s="235">
        <f>C248*18%</f>
        <v>5760</v>
      </c>
      <c r="D249" s="235">
        <v>0.5</v>
      </c>
      <c r="E249" s="235"/>
      <c r="F249" s="341" t="s">
        <v>177</v>
      </c>
      <c r="G249" s="146"/>
      <c r="H249" s="146"/>
      <c r="I249" s="55"/>
      <c r="J249" s="63"/>
      <c r="L249" s="27"/>
      <c r="M249" s="27"/>
      <c r="N249" s="27"/>
      <c r="O249" s="27"/>
      <c r="P249" s="27"/>
      <c r="Q249" s="28"/>
      <c r="R249" s="28"/>
    </row>
    <row r="250" spans="1:18">
      <c r="A250" s="151"/>
      <c r="B250" s="164"/>
      <c r="C250" s="151"/>
      <c r="D250" s="151"/>
      <c r="E250" s="165"/>
      <c r="F250" s="198"/>
      <c r="G250" s="146"/>
      <c r="H250" s="146"/>
      <c r="I250" s="55"/>
      <c r="J250" s="63"/>
      <c r="L250" s="27"/>
      <c r="M250" s="27"/>
      <c r="N250" s="27"/>
      <c r="O250" s="27"/>
      <c r="P250" s="27"/>
      <c r="Q250" s="28"/>
      <c r="R250" s="28"/>
    </row>
    <row r="251" spans="1:18" ht="15.75" thickBot="1">
      <c r="A251" s="367" t="s">
        <v>151</v>
      </c>
      <c r="B251" s="367"/>
      <c r="C251" s="367"/>
      <c r="D251" s="367"/>
      <c r="E251" s="367"/>
      <c r="G251" s="146"/>
      <c r="H251" s="146"/>
      <c r="I251" s="55"/>
      <c r="J251" s="63"/>
      <c r="L251" s="27"/>
      <c r="M251" s="27"/>
      <c r="N251" s="27"/>
      <c r="O251" s="27"/>
      <c r="P251" s="27"/>
      <c r="Q251" s="28"/>
      <c r="R251" s="28"/>
    </row>
    <row r="252" spans="1:18" ht="27" thickTop="1" thickBot="1">
      <c r="A252" s="140" t="s">
        <v>0</v>
      </c>
      <c r="B252" s="167" t="s">
        <v>1</v>
      </c>
      <c r="C252" s="168" t="s">
        <v>2</v>
      </c>
      <c r="D252" s="169" t="s">
        <v>3</v>
      </c>
      <c r="E252" s="175" t="s">
        <v>4</v>
      </c>
      <c r="F252" s="145" t="s">
        <v>25</v>
      </c>
      <c r="G252" s="146"/>
      <c r="H252" s="146"/>
      <c r="I252" s="55"/>
      <c r="J252" s="63"/>
      <c r="L252" s="27"/>
      <c r="M252" s="27"/>
      <c r="N252" s="27"/>
      <c r="O252" s="27"/>
      <c r="P252" s="27"/>
      <c r="Q252" s="28"/>
      <c r="R252" s="28"/>
    </row>
    <row r="253" spans="1:18" ht="16.5" customHeight="1">
      <c r="A253" s="405" t="s">
        <v>152</v>
      </c>
      <c r="B253" s="266" t="s">
        <v>8</v>
      </c>
      <c r="C253" s="370">
        <f>9000*3.5/1.18</f>
        <v>26694.91525423729</v>
      </c>
      <c r="D253" s="360">
        <v>0.5</v>
      </c>
      <c r="E253" s="362"/>
      <c r="F253" s="392" t="s">
        <v>154</v>
      </c>
      <c r="G253" s="146"/>
      <c r="H253" s="146"/>
      <c r="I253" s="55"/>
      <c r="J253" s="63"/>
      <c r="L253" s="27"/>
      <c r="M253" s="27"/>
      <c r="N253" s="27"/>
      <c r="O253" s="27"/>
      <c r="P253" s="27"/>
      <c r="Q253" s="28"/>
      <c r="R253" s="28"/>
    </row>
    <row r="254" spans="1:18" ht="18" customHeight="1" thickBot="1">
      <c r="A254" s="406"/>
      <c r="B254" s="263" t="s">
        <v>256</v>
      </c>
      <c r="C254" s="371"/>
      <c r="D254" s="372"/>
      <c r="E254" s="400"/>
      <c r="F254" s="393"/>
      <c r="G254" s="146"/>
      <c r="H254" s="146"/>
      <c r="I254" s="55"/>
      <c r="J254" s="63"/>
      <c r="L254" s="27"/>
      <c r="M254" s="27"/>
      <c r="N254" s="27"/>
      <c r="O254" s="27"/>
      <c r="P254" s="27"/>
      <c r="Q254" s="28"/>
      <c r="R254" s="28"/>
    </row>
    <row r="255" spans="1:18" ht="15.75" thickBot="1">
      <c r="A255" s="269" t="s">
        <v>153</v>
      </c>
      <c r="B255" s="171" t="s">
        <v>6</v>
      </c>
      <c r="C255" s="270">
        <f>C253*18%</f>
        <v>4805.0847457627124</v>
      </c>
      <c r="D255" s="361"/>
      <c r="E255" s="363"/>
      <c r="F255" s="394"/>
      <c r="G255" s="146"/>
      <c r="H255" s="146"/>
      <c r="I255" s="55"/>
      <c r="J255" s="63"/>
      <c r="L255" s="27"/>
      <c r="M255" s="27"/>
      <c r="N255" s="27"/>
      <c r="O255" s="27"/>
      <c r="P255" s="27"/>
      <c r="Q255" s="28"/>
      <c r="R255" s="38"/>
    </row>
    <row r="256" spans="1:18">
      <c r="A256" s="151"/>
      <c r="B256" s="164"/>
      <c r="C256" s="151"/>
      <c r="D256" s="151"/>
      <c r="E256" s="165"/>
      <c r="F256" s="198"/>
      <c r="G256" s="146"/>
      <c r="H256" s="146"/>
      <c r="I256" s="55"/>
      <c r="J256" s="63"/>
      <c r="L256" s="27"/>
      <c r="M256" s="27"/>
      <c r="N256" s="27"/>
      <c r="O256" s="27"/>
      <c r="P256" s="27"/>
      <c r="Q256" s="28"/>
      <c r="R256" s="28"/>
    </row>
    <row r="257" spans="1:18" ht="15.75" thickBot="1">
      <c r="A257" s="367" t="s">
        <v>155</v>
      </c>
      <c r="B257" s="367"/>
      <c r="C257" s="367"/>
      <c r="D257" s="367"/>
      <c r="E257" s="367"/>
      <c r="G257" s="146"/>
      <c r="H257" s="146"/>
      <c r="I257" s="55"/>
      <c r="J257" s="63"/>
      <c r="L257" s="27"/>
      <c r="M257" s="27"/>
      <c r="N257" s="27"/>
      <c r="O257" s="27"/>
      <c r="P257" s="27"/>
      <c r="Q257" s="28"/>
      <c r="R257" s="28"/>
    </row>
    <row r="258" spans="1:18" ht="27" thickTop="1" thickBot="1">
      <c r="A258" s="140" t="s">
        <v>0</v>
      </c>
      <c r="B258" s="167" t="s">
        <v>1</v>
      </c>
      <c r="C258" s="168" t="s">
        <v>2</v>
      </c>
      <c r="D258" s="169" t="s">
        <v>3</v>
      </c>
      <c r="E258" s="175" t="s">
        <v>4</v>
      </c>
      <c r="F258" s="145" t="s">
        <v>25</v>
      </c>
      <c r="G258" s="146"/>
      <c r="H258" s="146"/>
      <c r="I258" s="55"/>
      <c r="J258" s="63"/>
      <c r="L258" s="27"/>
      <c r="M258" s="27"/>
      <c r="N258" s="27"/>
      <c r="O258" s="27"/>
      <c r="P258" s="27"/>
      <c r="Q258" s="28"/>
      <c r="R258" s="28"/>
    </row>
    <row r="259" spans="1:18" ht="34.5" customHeight="1">
      <c r="A259" s="253" t="s">
        <v>156</v>
      </c>
      <c r="B259" s="266" t="s">
        <v>157</v>
      </c>
      <c r="C259" s="342">
        <f>50000/1.18</f>
        <v>42372.881355932208</v>
      </c>
      <c r="D259" s="360">
        <v>0.5</v>
      </c>
      <c r="E259" s="362"/>
      <c r="F259" s="392" t="s">
        <v>159</v>
      </c>
      <c r="G259" s="146"/>
      <c r="H259" s="146"/>
      <c r="I259" s="55"/>
      <c r="J259" s="63"/>
      <c r="L259" s="27"/>
      <c r="M259" s="27"/>
      <c r="N259" s="27"/>
      <c r="O259" s="27"/>
      <c r="P259" s="27"/>
      <c r="Q259" s="28"/>
      <c r="R259" s="28"/>
    </row>
    <row r="260" spans="1:18" ht="15.75" thickBot="1">
      <c r="A260" s="235" t="s">
        <v>158</v>
      </c>
      <c r="B260" s="150" t="s">
        <v>6</v>
      </c>
      <c r="C260" s="343">
        <f>C259*18%</f>
        <v>7627.1186440677975</v>
      </c>
      <c r="D260" s="408"/>
      <c r="E260" s="363"/>
      <c r="F260" s="394"/>
      <c r="G260" s="146"/>
      <c r="H260" s="146"/>
      <c r="I260" s="55"/>
      <c r="J260" s="63"/>
      <c r="L260" s="27"/>
      <c r="M260" s="27"/>
      <c r="N260" s="27"/>
      <c r="O260" s="27"/>
      <c r="P260" s="27"/>
      <c r="Q260" s="28"/>
      <c r="R260" s="38"/>
    </row>
    <row r="261" spans="1:18">
      <c r="A261" s="151"/>
      <c r="B261" s="164"/>
      <c r="C261" s="151"/>
      <c r="D261" s="151"/>
      <c r="E261" s="165"/>
      <c r="F261" s="198"/>
      <c r="G261" s="146"/>
      <c r="H261" s="146"/>
      <c r="I261" s="55"/>
      <c r="J261" s="63"/>
      <c r="L261" s="27"/>
      <c r="M261" s="27"/>
      <c r="N261" s="27"/>
      <c r="O261" s="27"/>
      <c r="P261" s="27"/>
      <c r="Q261" s="28"/>
      <c r="R261" s="28"/>
    </row>
    <row r="262" spans="1:18" ht="15.75" thickBot="1">
      <c r="A262" s="367" t="s">
        <v>183</v>
      </c>
      <c r="B262" s="367"/>
      <c r="C262" s="367"/>
      <c r="D262" s="367"/>
      <c r="E262" s="367"/>
      <c r="G262" s="146"/>
      <c r="H262" s="146"/>
      <c r="I262" s="55"/>
      <c r="J262" s="63"/>
      <c r="L262" s="27"/>
      <c r="M262" s="27"/>
      <c r="N262" s="27"/>
      <c r="O262" s="27"/>
      <c r="P262" s="27"/>
      <c r="Q262" s="28"/>
      <c r="R262" s="28"/>
    </row>
    <row r="263" spans="1:18" ht="27" thickTop="1" thickBot="1">
      <c r="A263" s="140" t="s">
        <v>0</v>
      </c>
      <c r="B263" s="167" t="s">
        <v>1</v>
      </c>
      <c r="C263" s="168" t="s">
        <v>2</v>
      </c>
      <c r="D263" s="169" t="s">
        <v>3</v>
      </c>
      <c r="E263" s="175" t="s">
        <v>4</v>
      </c>
      <c r="F263" s="145" t="s">
        <v>25</v>
      </c>
      <c r="G263" s="146"/>
      <c r="H263" s="146"/>
      <c r="I263" s="55"/>
      <c r="J263" s="63"/>
      <c r="L263" s="27"/>
      <c r="M263" s="27"/>
      <c r="N263" s="27"/>
      <c r="O263" s="27"/>
      <c r="P263" s="27"/>
      <c r="Q263" s="28"/>
      <c r="R263" s="28"/>
    </row>
    <row r="264" spans="1:18" ht="30">
      <c r="A264" s="253" t="s">
        <v>178</v>
      </c>
      <c r="B264" s="266" t="s">
        <v>157</v>
      </c>
      <c r="C264" s="344">
        <v>0</v>
      </c>
      <c r="D264" s="360">
        <v>0.5</v>
      </c>
      <c r="E264" s="362"/>
      <c r="F264" s="392" t="s">
        <v>179</v>
      </c>
      <c r="G264" s="146"/>
      <c r="H264" s="146"/>
      <c r="I264" s="55"/>
      <c r="J264" s="63"/>
      <c r="L264" s="27"/>
      <c r="M264" s="27"/>
      <c r="N264" s="27"/>
      <c r="O264" s="27"/>
      <c r="P264" s="27"/>
      <c r="Q264" s="28"/>
      <c r="R264" s="28"/>
    </row>
    <row r="265" spans="1:18" ht="15.75" thickBot="1">
      <c r="A265" s="235">
        <v>0</v>
      </c>
      <c r="B265" s="150" t="s">
        <v>6</v>
      </c>
      <c r="C265" s="345">
        <f>C264*18%</f>
        <v>0</v>
      </c>
      <c r="D265" s="408"/>
      <c r="E265" s="363"/>
      <c r="F265" s="394"/>
      <c r="G265" s="146"/>
      <c r="H265" s="146"/>
      <c r="I265" s="55"/>
      <c r="J265" s="63"/>
      <c r="L265" s="27"/>
      <c r="M265" s="27"/>
      <c r="N265" s="27"/>
      <c r="O265" s="27"/>
      <c r="P265" s="27"/>
      <c r="Q265" s="28"/>
      <c r="R265" s="28"/>
    </row>
    <row r="266" spans="1:18">
      <c r="A266" s="151"/>
      <c r="B266" s="164"/>
      <c r="C266" s="151"/>
      <c r="D266" s="151"/>
      <c r="E266" s="165"/>
      <c r="F266" s="198"/>
      <c r="G266" s="146"/>
      <c r="H266" s="146"/>
      <c r="I266" s="55"/>
      <c r="J266" s="63"/>
      <c r="L266" s="27"/>
      <c r="M266" s="27"/>
      <c r="N266" s="27"/>
      <c r="O266" s="27"/>
      <c r="P266" s="27"/>
      <c r="Q266" s="28"/>
      <c r="R266" s="28"/>
    </row>
    <row r="267" spans="1:18" ht="15" customHeight="1">
      <c r="A267" s="364" t="s">
        <v>187</v>
      </c>
      <c r="B267" s="364"/>
      <c r="C267" s="364"/>
      <c r="D267" s="364"/>
      <c r="E267" s="364"/>
      <c r="F267" s="364"/>
      <c r="G267" s="146"/>
      <c r="H267" s="146"/>
      <c r="I267" s="55"/>
      <c r="J267" s="63"/>
      <c r="K267" s="74"/>
      <c r="L267" s="27"/>
      <c r="M267" s="27"/>
      <c r="N267" s="27"/>
      <c r="O267" s="27"/>
      <c r="P267" s="27"/>
      <c r="Q267" s="28"/>
      <c r="R267" s="28"/>
    </row>
    <row r="268" spans="1:18" ht="15.75" thickBot="1">
      <c r="A268" s="407" t="s">
        <v>184</v>
      </c>
      <c r="B268" s="407"/>
      <c r="C268" s="407"/>
      <c r="D268" s="407"/>
      <c r="E268" s="407"/>
      <c r="F268" s="338"/>
      <c r="G268" s="146"/>
      <c r="H268" s="146"/>
      <c r="I268" s="55"/>
      <c r="J268" s="63"/>
      <c r="K268" s="75"/>
      <c r="L268" s="27"/>
      <c r="M268" s="27"/>
      <c r="N268" s="27"/>
      <c r="O268" s="27"/>
      <c r="P268" s="27"/>
      <c r="Q268" s="28"/>
      <c r="R268" s="28"/>
    </row>
    <row r="269" spans="1:18" ht="30.75" customHeight="1" thickBot="1">
      <c r="A269" s="339" t="s">
        <v>0</v>
      </c>
      <c r="B269" s="346" t="s">
        <v>1</v>
      </c>
      <c r="C269" s="330" t="s">
        <v>2</v>
      </c>
      <c r="D269" s="187" t="s">
        <v>3</v>
      </c>
      <c r="E269" s="190" t="s">
        <v>4</v>
      </c>
      <c r="F269" s="145" t="s">
        <v>25</v>
      </c>
      <c r="G269" s="146"/>
      <c r="H269" s="146"/>
      <c r="I269" s="55"/>
      <c r="J269" s="63"/>
      <c r="L269" s="27"/>
      <c r="M269" s="27"/>
      <c r="N269" s="27"/>
      <c r="O269" s="27"/>
      <c r="P269" s="27"/>
      <c r="Q269" s="28"/>
      <c r="R269" s="28"/>
    </row>
    <row r="270" spans="1:18" ht="58.5" customHeight="1">
      <c r="A270" s="347" t="s">
        <v>223</v>
      </c>
      <c r="B270" s="348" t="s">
        <v>185</v>
      </c>
      <c r="C270" s="349" t="s">
        <v>193</v>
      </c>
      <c r="D270" s="187">
        <v>0.5</v>
      </c>
      <c r="E270" s="190"/>
      <c r="F270" s="392" t="s">
        <v>34</v>
      </c>
      <c r="G270" s="146"/>
      <c r="H270" s="146"/>
      <c r="I270" s="55"/>
      <c r="J270" s="63"/>
      <c r="L270" s="27"/>
      <c r="M270" s="27"/>
      <c r="N270" s="27"/>
      <c r="O270" s="27"/>
      <c r="P270" s="27"/>
      <c r="Q270" s="28"/>
      <c r="R270" s="28"/>
    </row>
    <row r="271" spans="1:18" ht="53.25" customHeight="1" thickBot="1">
      <c r="A271" s="347" t="s">
        <v>186</v>
      </c>
      <c r="B271" s="153" t="s">
        <v>23</v>
      </c>
      <c r="C271" s="191">
        <f>50000/1.18*18%*80%</f>
        <v>6101.6949152542384</v>
      </c>
      <c r="D271" s="153">
        <v>0.5</v>
      </c>
      <c r="E271" s="153"/>
      <c r="F271" s="394"/>
      <c r="G271" s="146"/>
      <c r="H271" s="146"/>
      <c r="I271" s="55"/>
      <c r="J271" s="63"/>
      <c r="L271" s="27"/>
      <c r="M271" s="27"/>
      <c r="N271" s="27"/>
      <c r="O271" s="27"/>
      <c r="P271" s="27"/>
      <c r="Q271" s="28"/>
      <c r="R271" s="38"/>
    </row>
    <row r="272" spans="1:18">
      <c r="A272" s="151"/>
      <c r="B272" s="164"/>
      <c r="C272" s="151"/>
      <c r="D272" s="151"/>
      <c r="E272" s="165"/>
      <c r="F272" s="198"/>
      <c r="G272" s="146"/>
      <c r="H272" s="146"/>
      <c r="I272" s="55"/>
      <c r="J272" s="63"/>
      <c r="L272" s="27"/>
      <c r="M272" s="27"/>
      <c r="N272" s="27"/>
      <c r="O272" s="27"/>
      <c r="P272" s="27"/>
      <c r="Q272" s="28"/>
      <c r="R272" s="28"/>
    </row>
    <row r="273" spans="1:18">
      <c r="A273" s="434" t="s">
        <v>188</v>
      </c>
      <c r="B273" s="434"/>
      <c r="C273" s="434"/>
      <c r="D273" s="434"/>
      <c r="E273" s="434"/>
      <c r="F273" s="434"/>
      <c r="G273" s="146"/>
      <c r="H273" s="146"/>
      <c r="I273" s="55"/>
      <c r="J273" s="63"/>
      <c r="L273" s="27"/>
      <c r="M273" s="27"/>
      <c r="N273" s="27"/>
      <c r="O273" s="27"/>
      <c r="P273" s="27"/>
      <c r="Q273" s="28"/>
      <c r="R273" s="28"/>
    </row>
    <row r="274" spans="1:18">
      <c r="A274" s="132"/>
      <c r="B274" s="164"/>
      <c r="C274" s="164"/>
      <c r="D274" s="151"/>
      <c r="E274" s="165"/>
      <c r="F274" s="198"/>
      <c r="G274" s="146"/>
      <c r="H274" s="146"/>
      <c r="I274" s="55"/>
      <c r="J274" s="63"/>
      <c r="L274" s="27"/>
      <c r="M274" s="27"/>
      <c r="N274" s="27"/>
      <c r="O274" s="27"/>
      <c r="P274" s="27"/>
      <c r="Q274" s="28"/>
      <c r="R274" s="38"/>
    </row>
    <row r="275" spans="1:18" ht="15.75" thickBot="1">
      <c r="A275" s="367" t="s">
        <v>190</v>
      </c>
      <c r="B275" s="367"/>
      <c r="C275" s="367"/>
      <c r="D275" s="367"/>
      <c r="E275" s="367"/>
      <c r="G275" s="146"/>
      <c r="H275" s="146"/>
      <c r="I275" s="55"/>
      <c r="J275" s="63"/>
      <c r="L275" s="27"/>
      <c r="M275" s="27"/>
      <c r="N275" s="27"/>
      <c r="O275" s="27"/>
      <c r="P275" s="27"/>
      <c r="Q275" s="28"/>
      <c r="R275" s="28"/>
    </row>
    <row r="276" spans="1:18" ht="27" thickTop="1" thickBot="1">
      <c r="A276" s="140" t="s">
        <v>0</v>
      </c>
      <c r="B276" s="167" t="s">
        <v>1</v>
      </c>
      <c r="C276" s="168" t="s">
        <v>2</v>
      </c>
      <c r="D276" s="169" t="s">
        <v>3</v>
      </c>
      <c r="E276" s="175" t="s">
        <v>4</v>
      </c>
      <c r="F276" s="145" t="s">
        <v>25</v>
      </c>
      <c r="G276" s="146"/>
      <c r="H276" s="146"/>
      <c r="I276" s="55"/>
      <c r="J276" s="63"/>
      <c r="L276" s="27"/>
      <c r="M276" s="27"/>
      <c r="N276" s="27"/>
      <c r="O276" s="27"/>
      <c r="P276" s="27"/>
      <c r="Q276" s="28"/>
      <c r="R276" s="38"/>
    </row>
    <row r="277" spans="1:18">
      <c r="A277" s="405" t="s">
        <v>194</v>
      </c>
      <c r="B277" s="266" t="s">
        <v>8</v>
      </c>
      <c r="C277" s="370">
        <f>3000/1.18</f>
        <v>2542.3728813559323</v>
      </c>
      <c r="D277" s="360">
        <v>0.5</v>
      </c>
      <c r="E277" s="362"/>
      <c r="F277" s="392" t="s">
        <v>196</v>
      </c>
      <c r="G277" s="146"/>
      <c r="H277" s="146"/>
      <c r="I277" s="55"/>
      <c r="J277" s="63"/>
      <c r="L277" s="27"/>
      <c r="M277" s="27"/>
      <c r="N277" s="27"/>
      <c r="O277" s="27"/>
      <c r="P277" s="27"/>
      <c r="Q277" s="28"/>
      <c r="R277" s="28"/>
    </row>
    <row r="278" spans="1:18" ht="50.25" customHeight="1" thickBot="1">
      <c r="A278" s="406"/>
      <c r="B278" s="263" t="s">
        <v>256</v>
      </c>
      <c r="C278" s="371"/>
      <c r="D278" s="372"/>
      <c r="E278" s="400"/>
      <c r="F278" s="393"/>
      <c r="G278" s="146"/>
      <c r="H278" s="146"/>
      <c r="I278" s="55"/>
      <c r="J278" s="63"/>
      <c r="L278" s="27"/>
      <c r="M278" s="27"/>
      <c r="N278" s="27"/>
      <c r="O278" s="27"/>
      <c r="P278" s="27"/>
      <c r="Q278" s="28"/>
      <c r="R278" s="28"/>
    </row>
    <row r="279" spans="1:18" ht="15.75" thickBot="1">
      <c r="A279" s="287" t="s">
        <v>106</v>
      </c>
      <c r="B279" s="266" t="s">
        <v>6</v>
      </c>
      <c r="C279" s="288">
        <f>C277*18%</f>
        <v>457.62711864406782</v>
      </c>
      <c r="D279" s="372"/>
      <c r="E279" s="400"/>
      <c r="F279" s="393"/>
      <c r="G279" s="146"/>
      <c r="H279" s="146"/>
      <c r="I279" s="55"/>
      <c r="J279" s="63"/>
      <c r="L279" s="27"/>
      <c r="M279" s="27"/>
      <c r="N279" s="27"/>
      <c r="O279" s="27"/>
      <c r="P279" s="27"/>
      <c r="Q279" s="28"/>
      <c r="R279" s="28"/>
    </row>
    <row r="280" spans="1:18" ht="45">
      <c r="A280" s="350" t="s">
        <v>224</v>
      </c>
      <c r="B280" s="351" t="s">
        <v>5</v>
      </c>
      <c r="C280" s="210">
        <v>0</v>
      </c>
      <c r="D280" s="401">
        <v>0.5</v>
      </c>
      <c r="E280" s="403"/>
      <c r="F280" s="392" t="s">
        <v>195</v>
      </c>
      <c r="G280" s="146"/>
      <c r="H280" s="146"/>
      <c r="I280" s="55"/>
      <c r="J280" s="63"/>
      <c r="L280" s="27"/>
      <c r="M280" s="27"/>
      <c r="N280" s="27"/>
      <c r="O280" s="27"/>
      <c r="P280" s="27"/>
      <c r="Q280" s="28"/>
      <c r="R280" s="28"/>
    </row>
    <row r="281" spans="1:18" ht="15.75" thickBot="1">
      <c r="A281" s="352" t="s">
        <v>189</v>
      </c>
      <c r="B281" s="353" t="s">
        <v>6</v>
      </c>
      <c r="C281" s="160">
        <v>0</v>
      </c>
      <c r="D281" s="402"/>
      <c r="E281" s="404"/>
      <c r="F281" s="394"/>
      <c r="G281" s="146"/>
      <c r="H281" s="146"/>
      <c r="I281" s="55"/>
      <c r="J281" s="63"/>
      <c r="L281" s="27"/>
      <c r="M281" s="27"/>
      <c r="N281" s="27"/>
      <c r="O281" s="27"/>
      <c r="P281" s="27"/>
      <c r="Q281" s="28"/>
      <c r="R281" s="28"/>
    </row>
    <row r="282" spans="1:18">
      <c r="A282" s="132"/>
      <c r="B282" s="164"/>
      <c r="C282" s="164"/>
      <c r="D282" s="151"/>
      <c r="E282" s="151"/>
      <c r="F282" s="198"/>
      <c r="G282" s="146"/>
      <c r="H282" s="146"/>
      <c r="I282" s="55"/>
      <c r="J282" s="63"/>
      <c r="L282" s="27"/>
      <c r="M282" s="27"/>
      <c r="N282" s="27"/>
      <c r="O282" s="27"/>
      <c r="P282" s="27"/>
      <c r="Q282" s="28"/>
      <c r="R282" s="28"/>
    </row>
    <row r="283" spans="1:18" ht="15.75" thickBot="1">
      <c r="A283" s="367" t="s">
        <v>191</v>
      </c>
      <c r="B283" s="367"/>
      <c r="C283" s="367"/>
      <c r="D283" s="367"/>
      <c r="E283" s="367"/>
      <c r="G283" s="146"/>
      <c r="H283" s="146"/>
      <c r="I283" s="55"/>
      <c r="J283" s="63"/>
      <c r="L283" s="27"/>
      <c r="M283" s="27"/>
      <c r="N283" s="27"/>
      <c r="O283" s="27"/>
      <c r="P283" s="27"/>
      <c r="Q283" s="28"/>
      <c r="R283" s="28"/>
    </row>
    <row r="284" spans="1:18" ht="27" thickTop="1" thickBot="1">
      <c r="A284" s="140" t="s">
        <v>0</v>
      </c>
      <c r="B284" s="167" t="s">
        <v>1</v>
      </c>
      <c r="C284" s="168" t="s">
        <v>2</v>
      </c>
      <c r="D284" s="169" t="s">
        <v>3</v>
      </c>
      <c r="E284" s="175" t="s">
        <v>4</v>
      </c>
      <c r="F284" s="145" t="s">
        <v>25</v>
      </c>
      <c r="G284" s="146"/>
      <c r="H284" s="146"/>
      <c r="I284" s="55"/>
      <c r="J284" s="63"/>
      <c r="L284" s="27"/>
      <c r="M284" s="27"/>
      <c r="N284" s="27"/>
      <c r="O284" s="27"/>
      <c r="P284" s="27"/>
      <c r="Q284" s="28"/>
      <c r="R284" s="28"/>
    </row>
    <row r="285" spans="1:18">
      <c r="A285" s="398" t="s">
        <v>198</v>
      </c>
      <c r="B285" s="266" t="s">
        <v>8</v>
      </c>
      <c r="C285" s="370">
        <f>2000/1.18</f>
        <v>1694.9152542372883</v>
      </c>
      <c r="D285" s="360">
        <v>0.5</v>
      </c>
      <c r="E285" s="362"/>
      <c r="F285" s="392" t="s">
        <v>197</v>
      </c>
      <c r="G285" s="146"/>
      <c r="H285" s="146"/>
      <c r="I285" s="55"/>
      <c r="J285" s="63"/>
      <c r="L285" s="27"/>
      <c r="M285" s="27"/>
      <c r="N285" s="27"/>
      <c r="O285" s="27"/>
      <c r="P285" s="27"/>
      <c r="Q285" s="28"/>
      <c r="R285" s="28"/>
    </row>
    <row r="286" spans="1:18" ht="30" customHeight="1" thickBot="1">
      <c r="A286" s="399"/>
      <c r="B286" s="263" t="s">
        <v>256</v>
      </c>
      <c r="C286" s="371"/>
      <c r="D286" s="372"/>
      <c r="E286" s="400"/>
      <c r="F286" s="393"/>
      <c r="G286" s="146"/>
      <c r="H286" s="146"/>
      <c r="I286" s="55"/>
      <c r="J286" s="63"/>
      <c r="L286" s="27"/>
      <c r="M286" s="27"/>
      <c r="N286" s="27"/>
      <c r="O286" s="27"/>
      <c r="P286" s="27"/>
      <c r="Q286" s="28"/>
      <c r="R286" s="28"/>
    </row>
    <row r="287" spans="1:18" ht="15.75" thickBot="1">
      <c r="A287" s="287" t="s">
        <v>199</v>
      </c>
      <c r="B287" s="266" t="s">
        <v>6</v>
      </c>
      <c r="C287" s="288">
        <f>C285*18%</f>
        <v>305.08474576271186</v>
      </c>
      <c r="D287" s="372"/>
      <c r="E287" s="400"/>
      <c r="F287" s="393"/>
      <c r="G287" s="146"/>
      <c r="H287" s="146"/>
      <c r="I287" s="55"/>
      <c r="J287" s="63"/>
      <c r="L287" s="27"/>
      <c r="M287" s="27"/>
      <c r="N287" s="27"/>
      <c r="O287" s="27"/>
      <c r="P287" s="27"/>
      <c r="Q287" s="28"/>
      <c r="R287" s="28"/>
    </row>
    <row r="288" spans="1:18" ht="30">
      <c r="A288" s="350" t="s">
        <v>200</v>
      </c>
      <c r="B288" s="351" t="s">
        <v>5</v>
      </c>
      <c r="C288" s="210">
        <v>0</v>
      </c>
      <c r="D288" s="401">
        <v>0.5</v>
      </c>
      <c r="E288" s="403"/>
      <c r="F288" s="392" t="s">
        <v>195</v>
      </c>
      <c r="G288" s="146"/>
      <c r="H288" s="146"/>
      <c r="I288" s="55"/>
      <c r="J288" s="63"/>
      <c r="L288" s="27"/>
      <c r="M288" s="27"/>
      <c r="N288" s="27"/>
      <c r="O288" s="27"/>
      <c r="P288" s="27"/>
      <c r="Q288" s="28"/>
      <c r="R288" s="28"/>
    </row>
    <row r="289" spans="1:18" ht="15.75" thickBot="1">
      <c r="A289" s="352" t="s">
        <v>189</v>
      </c>
      <c r="B289" s="353" t="s">
        <v>6</v>
      </c>
      <c r="C289" s="160">
        <v>0</v>
      </c>
      <c r="D289" s="402"/>
      <c r="E289" s="404"/>
      <c r="F289" s="394"/>
      <c r="G289" s="146"/>
      <c r="H289" s="146"/>
      <c r="I289" s="55"/>
      <c r="J289" s="63"/>
      <c r="K289" s="71"/>
      <c r="L289" s="28"/>
      <c r="M289" s="28"/>
      <c r="N289" s="28"/>
      <c r="O289" s="28"/>
      <c r="P289" s="28"/>
      <c r="Q289" s="28"/>
      <c r="R289" s="28"/>
    </row>
    <row r="290" spans="1:18">
      <c r="A290" s="132"/>
      <c r="B290" s="164"/>
      <c r="C290" s="164"/>
      <c r="D290" s="151"/>
      <c r="E290" s="151"/>
      <c r="F290" s="198"/>
      <c r="G290" s="146"/>
      <c r="H290" s="146"/>
      <c r="I290" s="55"/>
      <c r="J290" s="63"/>
      <c r="K290" s="71"/>
      <c r="L290" s="28"/>
      <c r="M290" s="28"/>
      <c r="N290" s="28"/>
      <c r="O290" s="28"/>
      <c r="P290" s="28"/>
      <c r="Q290" s="28"/>
      <c r="R290" s="28"/>
    </row>
    <row r="291" spans="1:18">
      <c r="A291" s="132"/>
      <c r="B291" s="164"/>
      <c r="C291" s="164"/>
      <c r="D291" s="151"/>
      <c r="E291" s="151"/>
      <c r="F291" s="198"/>
      <c r="G291" s="146"/>
      <c r="H291" s="146"/>
      <c r="I291" s="55"/>
      <c r="J291" s="63"/>
      <c r="K291" s="71"/>
      <c r="L291" s="28"/>
      <c r="M291" s="28"/>
      <c r="N291" s="28"/>
      <c r="O291" s="28"/>
      <c r="P291" s="28"/>
      <c r="Q291" s="28"/>
      <c r="R291" s="28"/>
    </row>
    <row r="292" spans="1:18">
      <c r="A292" s="375" t="s">
        <v>201</v>
      </c>
      <c r="B292" s="375"/>
      <c r="C292" s="375"/>
      <c r="D292" s="375"/>
      <c r="E292" s="375"/>
      <c r="F292" s="375"/>
      <c r="G292" s="146"/>
      <c r="H292" s="146"/>
      <c r="I292" s="55"/>
      <c r="J292" s="63"/>
      <c r="K292" s="71"/>
      <c r="L292" s="28"/>
      <c r="M292" s="28"/>
      <c r="N292" s="28"/>
      <c r="O292" s="28"/>
      <c r="P292" s="28"/>
      <c r="Q292" s="28"/>
      <c r="R292" s="28"/>
    </row>
    <row r="293" spans="1:18">
      <c r="A293" s="354"/>
      <c r="B293" s="355"/>
      <c r="C293" s="355"/>
      <c r="D293" s="355"/>
      <c r="E293" s="354"/>
      <c r="G293" s="146"/>
      <c r="H293" s="146"/>
      <c r="I293" s="55"/>
      <c r="J293" s="63"/>
      <c r="K293" s="71"/>
      <c r="L293" s="28"/>
      <c r="M293" s="28"/>
      <c r="N293" s="28"/>
      <c r="O293" s="28"/>
      <c r="P293" s="28"/>
      <c r="Q293" s="28"/>
      <c r="R293" s="28"/>
    </row>
    <row r="294" spans="1:18" ht="15.75" thickBot="1">
      <c r="A294" s="367" t="s">
        <v>269</v>
      </c>
      <c r="B294" s="367"/>
      <c r="C294" s="367"/>
      <c r="D294" s="367"/>
      <c r="E294" s="367"/>
      <c r="G294" s="146"/>
      <c r="H294" s="146"/>
      <c r="I294" s="55"/>
      <c r="J294" s="63"/>
      <c r="K294" s="71"/>
      <c r="L294" s="28"/>
      <c r="M294" s="28"/>
      <c r="N294" s="28"/>
      <c r="O294" s="28"/>
      <c r="P294" s="28"/>
      <c r="Q294" s="28"/>
      <c r="R294" s="28"/>
    </row>
    <row r="295" spans="1:18" ht="27" thickTop="1" thickBot="1">
      <c r="A295" s="140" t="s">
        <v>0</v>
      </c>
      <c r="B295" s="167" t="s">
        <v>1</v>
      </c>
      <c r="C295" s="168" t="s">
        <v>2</v>
      </c>
      <c r="D295" s="169" t="s">
        <v>3</v>
      </c>
      <c r="E295" s="175" t="s">
        <v>4</v>
      </c>
      <c r="F295" s="145" t="s">
        <v>25</v>
      </c>
      <c r="G295" s="146"/>
      <c r="H295" s="146"/>
      <c r="I295" s="55"/>
      <c r="J295" s="63"/>
      <c r="K295" s="71"/>
      <c r="L295" s="28"/>
      <c r="M295" s="28"/>
      <c r="N295" s="28"/>
      <c r="O295" s="28"/>
      <c r="P295" s="28"/>
      <c r="Q295" s="28"/>
      <c r="R295" s="28"/>
    </row>
    <row r="296" spans="1:18" ht="45.75" thickBot="1">
      <c r="A296" s="196" t="s">
        <v>202</v>
      </c>
      <c r="B296" s="171" t="s">
        <v>33</v>
      </c>
      <c r="C296" s="172">
        <f>1500/1.18</f>
        <v>1271.1864406779662</v>
      </c>
      <c r="D296" s="173">
        <v>1</v>
      </c>
      <c r="E296" s="362"/>
      <c r="F296" s="392" t="s">
        <v>35</v>
      </c>
      <c r="G296" s="146"/>
      <c r="H296" s="146"/>
      <c r="I296" s="55"/>
      <c r="J296" s="63"/>
      <c r="K296" s="71"/>
      <c r="L296" s="28"/>
      <c r="M296" s="28"/>
      <c r="N296" s="28"/>
      <c r="O296" s="28"/>
      <c r="P296" s="28"/>
      <c r="Q296" s="28"/>
      <c r="R296" s="28"/>
    </row>
    <row r="297" spans="1:18" ht="15.75" thickBot="1">
      <c r="A297" s="264" t="s">
        <v>203</v>
      </c>
      <c r="B297" s="171" t="s">
        <v>6</v>
      </c>
      <c r="C297" s="172">
        <f>C296*18%</f>
        <v>228.81355932203391</v>
      </c>
      <c r="D297" s="173">
        <v>0.5</v>
      </c>
      <c r="E297" s="363"/>
      <c r="F297" s="394"/>
      <c r="G297" s="146"/>
      <c r="H297" s="146"/>
      <c r="I297" s="55"/>
      <c r="J297" s="63"/>
      <c r="K297" s="71"/>
      <c r="L297" s="28"/>
      <c r="M297" s="28"/>
      <c r="N297" s="28"/>
      <c r="O297" s="28"/>
      <c r="P297" s="28"/>
      <c r="Q297" s="28"/>
      <c r="R297" s="28"/>
    </row>
    <row r="298" spans="1:18">
      <c r="A298" s="151"/>
      <c r="B298" s="164"/>
      <c r="C298" s="151"/>
      <c r="D298" s="151"/>
      <c r="E298" s="165"/>
      <c r="F298" s="130"/>
      <c r="G298" s="146"/>
      <c r="H298" s="146"/>
      <c r="I298" s="55"/>
      <c r="J298" s="63"/>
      <c r="K298" s="71"/>
      <c r="L298" s="23"/>
      <c r="M298" s="23"/>
      <c r="N298" s="23"/>
      <c r="O298" s="23"/>
      <c r="P298" s="23"/>
    </row>
    <row r="299" spans="1:18" s="23" customFormat="1">
      <c r="A299" s="356"/>
      <c r="B299" s="357"/>
      <c r="C299" s="357"/>
      <c r="D299" s="357"/>
      <c r="E299" s="358"/>
      <c r="F299" s="358"/>
      <c r="G299" s="146">
        <f>SUM(G9:G298)</f>
        <v>388020.16949152545</v>
      </c>
      <c r="H299" s="146"/>
      <c r="I299" s="55">
        <f>SUM(I9:I298)</f>
        <v>267266.39</v>
      </c>
      <c r="J299" s="55">
        <f>SUM(J9:J298)</f>
        <v>73000</v>
      </c>
      <c r="K299" s="55">
        <f>SUM(K9:K298)</f>
        <v>115000</v>
      </c>
    </row>
    <row r="300" spans="1:18" s="23" customFormat="1">
      <c r="A300" s="325"/>
      <c r="B300" s="325"/>
      <c r="C300" s="359"/>
      <c r="D300" s="325"/>
      <c r="E300" s="164"/>
      <c r="F300" s="358"/>
      <c r="G300" s="146"/>
      <c r="H300" s="146"/>
      <c r="I300" s="55"/>
      <c r="J300" s="63"/>
      <c r="K300" s="76"/>
    </row>
    <row r="301" spans="1:18">
      <c r="I301" s="51"/>
      <c r="J301" s="59"/>
      <c r="K301" s="71"/>
      <c r="L301" s="23"/>
      <c r="M301" s="23"/>
      <c r="N301" s="23"/>
      <c r="O301" s="23"/>
      <c r="P301" s="23"/>
    </row>
    <row r="302" spans="1:18">
      <c r="I302" s="51"/>
      <c r="J302" s="59"/>
      <c r="K302" s="71"/>
      <c r="L302" s="23"/>
      <c r="M302" s="23"/>
      <c r="N302" s="23"/>
      <c r="O302" s="23"/>
      <c r="P302" s="23"/>
    </row>
  </sheetData>
  <mergeCells count="209">
    <mergeCell ref="F9:F14"/>
    <mergeCell ref="D61:D62"/>
    <mergeCell ref="F50:F51"/>
    <mergeCell ref="E81:E86"/>
    <mergeCell ref="F83:F84"/>
    <mergeCell ref="F85:F86"/>
    <mergeCell ref="F81:F82"/>
    <mergeCell ref="F157:F158"/>
    <mergeCell ref="A139:F139"/>
    <mergeCell ref="A146:E146"/>
    <mergeCell ref="D148:D149"/>
    <mergeCell ref="E148:E149"/>
    <mergeCell ref="A151:E151"/>
    <mergeCell ref="A155:E155"/>
    <mergeCell ref="D157:D158"/>
    <mergeCell ref="E157:E158"/>
    <mergeCell ref="E75:E77"/>
    <mergeCell ref="A108:E108"/>
    <mergeCell ref="A117:A118"/>
    <mergeCell ref="E117:E118"/>
    <mergeCell ref="F117:F118"/>
    <mergeCell ref="A114:F114"/>
    <mergeCell ref="A120:F120"/>
    <mergeCell ref="F18:F19"/>
    <mergeCell ref="A7:E7"/>
    <mergeCell ref="A21:E21"/>
    <mergeCell ref="A33:E33"/>
    <mergeCell ref="A141:E141"/>
    <mergeCell ref="A294:E294"/>
    <mergeCell ref="A248:A249"/>
    <mergeCell ref="D55:D57"/>
    <mergeCell ref="E296:E297"/>
    <mergeCell ref="A11:A12"/>
    <mergeCell ref="C277:C278"/>
    <mergeCell ref="D29:D31"/>
    <mergeCell ref="A253:A254"/>
    <mergeCell ref="C253:C254"/>
    <mergeCell ref="D253:D255"/>
    <mergeCell ref="E253:E255"/>
    <mergeCell ref="A257:E257"/>
    <mergeCell ref="F208:F210"/>
    <mergeCell ref="A131:A132"/>
    <mergeCell ref="A222:E222"/>
    <mergeCell ref="F296:F297"/>
    <mergeCell ref="A292:F292"/>
    <mergeCell ref="A273:F273"/>
    <mergeCell ref="A275:E275"/>
    <mergeCell ref="D277:D279"/>
    <mergeCell ref="D280:D281"/>
    <mergeCell ref="E280:E281"/>
    <mergeCell ref="F280:F281"/>
    <mergeCell ref="T40:T41"/>
    <mergeCell ref="U40:U41"/>
    <mergeCell ref="D45:D46"/>
    <mergeCell ref="E45:E46"/>
    <mergeCell ref="D143:D144"/>
    <mergeCell ref="E143:E144"/>
    <mergeCell ref="D176:D177"/>
    <mergeCell ref="E176:E177"/>
    <mergeCell ref="D165:D167"/>
    <mergeCell ref="E165:E167"/>
    <mergeCell ref="A165:A166"/>
    <mergeCell ref="A169:E169"/>
    <mergeCell ref="A161:F161"/>
    <mergeCell ref="A163:E163"/>
    <mergeCell ref="C165:C166"/>
    <mergeCell ref="D65:D66"/>
    <mergeCell ref="F111:F112"/>
    <mergeCell ref="K39:P39"/>
    <mergeCell ref="A134:F134"/>
    <mergeCell ref="A136:A137"/>
    <mergeCell ref="E136:E137"/>
    <mergeCell ref="F136:F137"/>
    <mergeCell ref="D63:D64"/>
    <mergeCell ref="E63:E64"/>
    <mergeCell ref="F45:F46"/>
    <mergeCell ref="D50:D51"/>
    <mergeCell ref="E50:E51"/>
    <mergeCell ref="E111:E112"/>
    <mergeCell ref="A91:A92"/>
    <mergeCell ref="E91:E92"/>
    <mergeCell ref="E131:E132"/>
    <mergeCell ref="F131:F132"/>
    <mergeCell ref="A103:A104"/>
    <mergeCell ref="E103:E104"/>
    <mergeCell ref="E55:E57"/>
    <mergeCell ref="A123:A124"/>
    <mergeCell ref="E123:E124"/>
    <mergeCell ref="A89:E89"/>
    <mergeCell ref="F61:F62"/>
    <mergeCell ref="F103:F104"/>
    <mergeCell ref="A105:A106"/>
    <mergeCell ref="A5:F5"/>
    <mergeCell ref="A94:F94"/>
    <mergeCell ref="A95:E95"/>
    <mergeCell ref="A97:A98"/>
    <mergeCell ref="E97:E98"/>
    <mergeCell ref="F97:F98"/>
    <mergeCell ref="A38:E38"/>
    <mergeCell ref="E105:E106"/>
    <mergeCell ref="F105:F106"/>
    <mergeCell ref="A100:F100"/>
    <mergeCell ref="A9:A10"/>
    <mergeCell ref="E9:E10"/>
    <mergeCell ref="D24:D25"/>
    <mergeCell ref="E24:E25"/>
    <mergeCell ref="A16:E16"/>
    <mergeCell ref="A18:A19"/>
    <mergeCell ref="E30:E31"/>
    <mergeCell ref="F30:F31"/>
    <mergeCell ref="A30:A31"/>
    <mergeCell ref="F24:F25"/>
    <mergeCell ref="D35:D36"/>
    <mergeCell ref="E35:E36"/>
    <mergeCell ref="F55:F56"/>
    <mergeCell ref="E18:E19"/>
    <mergeCell ref="F63:F64"/>
    <mergeCell ref="F65:F66"/>
    <mergeCell ref="F91:F92"/>
    <mergeCell ref="F123:F124"/>
    <mergeCell ref="A111:A112"/>
    <mergeCell ref="A68:F68"/>
    <mergeCell ref="E208:E210"/>
    <mergeCell ref="F215:F217"/>
    <mergeCell ref="A179:F179"/>
    <mergeCell ref="A181:E181"/>
    <mergeCell ref="A70:A71"/>
    <mergeCell ref="E70:E71"/>
    <mergeCell ref="F70:F71"/>
    <mergeCell ref="A268:E268"/>
    <mergeCell ref="F270:F271"/>
    <mergeCell ref="A262:E262"/>
    <mergeCell ref="D264:D265"/>
    <mergeCell ref="E264:E265"/>
    <mergeCell ref="F264:F265"/>
    <mergeCell ref="F226:F227"/>
    <mergeCell ref="A190:A191"/>
    <mergeCell ref="C190:C191"/>
    <mergeCell ref="D190:D192"/>
    <mergeCell ref="E190:E192"/>
    <mergeCell ref="F190:F192"/>
    <mergeCell ref="F253:F255"/>
    <mergeCell ref="F259:F260"/>
    <mergeCell ref="E197:E198"/>
    <mergeCell ref="F197:F198"/>
    <mergeCell ref="A200:E200"/>
    <mergeCell ref="D202:D203"/>
    <mergeCell ref="E202:E203"/>
    <mergeCell ref="F202:F203"/>
    <mergeCell ref="F231:F233"/>
    <mergeCell ref="D259:D260"/>
    <mergeCell ref="E259:E260"/>
    <mergeCell ref="A251:E251"/>
    <mergeCell ref="A285:A286"/>
    <mergeCell ref="C285:C286"/>
    <mergeCell ref="D285:D287"/>
    <mergeCell ref="E285:E287"/>
    <mergeCell ref="F285:F287"/>
    <mergeCell ref="D288:D289"/>
    <mergeCell ref="E288:E289"/>
    <mergeCell ref="F288:F289"/>
    <mergeCell ref="A277:A278"/>
    <mergeCell ref="F277:F279"/>
    <mergeCell ref="E277:E279"/>
    <mergeCell ref="A283:E283"/>
    <mergeCell ref="L177:N177"/>
    <mergeCell ref="P177:R177"/>
    <mergeCell ref="T177:V177"/>
    <mergeCell ref="X177:Z177"/>
    <mergeCell ref="E183:E185"/>
    <mergeCell ref="F183:F185"/>
    <mergeCell ref="AB177:AD177"/>
    <mergeCell ref="AF177:AH177"/>
    <mergeCell ref="L167:N167"/>
    <mergeCell ref="P167:R167"/>
    <mergeCell ref="T167:V167"/>
    <mergeCell ref="X167:Z167"/>
    <mergeCell ref="AB167:AD167"/>
    <mergeCell ref="AF167:AH167"/>
    <mergeCell ref="L172:N172"/>
    <mergeCell ref="P172:R172"/>
    <mergeCell ref="T172:V172"/>
    <mergeCell ref="X172:Z172"/>
    <mergeCell ref="AB172:AD172"/>
    <mergeCell ref="AF172:AH172"/>
    <mergeCell ref="D40:D41"/>
    <mergeCell ref="E40:E41"/>
    <mergeCell ref="A267:F267"/>
    <mergeCell ref="A244:F244"/>
    <mergeCell ref="A238:F238"/>
    <mergeCell ref="A188:E188"/>
    <mergeCell ref="A183:A184"/>
    <mergeCell ref="C183:C184"/>
    <mergeCell ref="D183:D185"/>
    <mergeCell ref="A174:E174"/>
    <mergeCell ref="A195:E195"/>
    <mergeCell ref="D197:D198"/>
    <mergeCell ref="F235:F236"/>
    <mergeCell ref="A220:F220"/>
    <mergeCell ref="A229:E229"/>
    <mergeCell ref="A206:E206"/>
    <mergeCell ref="A208:A209"/>
    <mergeCell ref="C208:C209"/>
    <mergeCell ref="A213:E213"/>
    <mergeCell ref="A215:A216"/>
    <mergeCell ref="C215:C216"/>
    <mergeCell ref="D215:D217"/>
    <mergeCell ref="E215:E217"/>
    <mergeCell ref="D208:D210"/>
  </mergeCells>
  <printOptions horizontalCentered="1"/>
  <pageMargins left="0.2" right="0.2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/>
  <dimension ref="A1:AC20"/>
  <sheetViews>
    <sheetView tabSelected="1" topLeftCell="A13" workbookViewId="0">
      <selection activeCell="A22" sqref="A22:XFD1048576"/>
    </sheetView>
  </sheetViews>
  <sheetFormatPr defaultColWidth="8.85546875" defaultRowHeight="15"/>
  <cols>
    <col min="1" max="1" width="36.140625" style="78" customWidth="1"/>
    <col min="2" max="2" width="4.140625" style="79" customWidth="1"/>
    <col min="3" max="3" width="10.85546875" style="78" customWidth="1"/>
    <col min="4" max="4" width="4.28515625" style="78" customWidth="1"/>
    <col min="5" max="5" width="11.28515625" style="78" customWidth="1"/>
    <col min="6" max="6" width="4.7109375" style="78" customWidth="1"/>
    <col min="7" max="7" width="12.85546875" style="78" customWidth="1"/>
    <col min="8" max="8" width="5" style="79" customWidth="1"/>
    <col min="9" max="9" width="8.42578125" style="78" customWidth="1"/>
    <col min="10" max="21" width="8.42578125" style="2" customWidth="1"/>
    <col min="22" max="22" width="4.7109375" style="2" customWidth="1"/>
    <col min="23" max="23" width="9.7109375" style="2" hidden="1" customWidth="1"/>
    <col min="24" max="24" width="5.42578125" style="2" hidden="1" customWidth="1"/>
    <col min="25" max="27" width="9.7109375" style="2" hidden="1" customWidth="1"/>
    <col min="28" max="31" width="0" style="2" hidden="1" customWidth="1"/>
    <col min="32" max="16384" width="8.85546875" style="2"/>
  </cols>
  <sheetData>
    <row r="1" spans="1:29">
      <c r="A1" s="468" t="s">
        <v>36</v>
      </c>
      <c r="B1" s="468"/>
      <c r="C1" s="468"/>
      <c r="D1" s="468"/>
      <c r="E1" s="468"/>
      <c r="F1" s="468"/>
      <c r="G1" s="468"/>
      <c r="H1" s="468"/>
      <c r="I1" s="468"/>
    </row>
    <row r="2" spans="1:29" ht="15.75" thickBot="1">
      <c r="B2" s="469" t="s">
        <v>37</v>
      </c>
      <c r="C2" s="469"/>
      <c r="D2" s="469"/>
    </row>
    <row r="3" spans="1:29" ht="24">
      <c r="A3" s="470" t="s">
        <v>38</v>
      </c>
      <c r="B3" s="471"/>
      <c r="C3" s="472"/>
      <c r="D3" s="473" t="s">
        <v>39</v>
      </c>
      <c r="E3" s="473"/>
      <c r="F3" s="474" t="s">
        <v>40</v>
      </c>
      <c r="G3" s="471"/>
      <c r="H3" s="80" t="s">
        <v>3</v>
      </c>
      <c r="I3" s="81" t="s">
        <v>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5"/>
    </row>
    <row r="4" spans="1:29">
      <c r="A4" s="475">
        <v>1</v>
      </c>
      <c r="B4" s="476"/>
      <c r="C4" s="476"/>
      <c r="D4" s="476">
        <v>2</v>
      </c>
      <c r="E4" s="476"/>
      <c r="F4" s="477">
        <v>3</v>
      </c>
      <c r="G4" s="478"/>
      <c r="H4" s="82"/>
      <c r="I4" s="8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5"/>
      <c r="AB4" s="465"/>
      <c r="AC4" s="466"/>
    </row>
    <row r="5" spans="1:29" ht="60">
      <c r="A5" s="84" t="s">
        <v>41</v>
      </c>
      <c r="B5" s="85"/>
      <c r="C5" s="86"/>
      <c r="D5" s="87">
        <v>1</v>
      </c>
      <c r="E5" s="88">
        <f>'სამუშაო რვეული'!C14+'სამუშაო რვეული'!C19+'სამუშაო რვეული'!C25+'სამუშაო რვეული'!C41+'სამუშაო რვეული'!C46+'სამუშაო რვეული'!C56+'სამუშაო რვეული'!C62+'სამუშაო რვეული'!C64+'სამუშაო რვეული'!C71+'სამუშაო რვეული'!C77+'სამუშაო რვეული'!C82+'სამუშაო რვეული'!C137+'სამუშაო რვეული'!C249</f>
        <v>69843.630508474584</v>
      </c>
      <c r="F5" s="89"/>
      <c r="G5" s="90"/>
      <c r="H5" s="91">
        <v>0.5</v>
      </c>
      <c r="I5" s="9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9" ht="25.5">
      <c r="A6" s="92" t="s">
        <v>42</v>
      </c>
      <c r="B6" s="93">
        <v>2</v>
      </c>
      <c r="C6" s="94">
        <f>'სამუშაო რვეული'!C13+'სამუშაო რვეული'!C18+'სამუშაო რვეული'!C24+'სამუშაო რვეული'!C40+'სამუშაო რვეული'!C45+'სამუშაო რვეული'!C55+'სამუშაო რვეული'!C61+'სამუშაო რვეული'!C63+'სამუშაო რვეული'!C70+'სამუშაო რვეული'!C76+'სამუშაო რვეული'!C81+'სამუშაო რვეული'!C136+'სამუშაო რვეული'!C248</f>
        <v>388020.16949152545</v>
      </c>
      <c r="D6" s="95"/>
      <c r="E6" s="96"/>
      <c r="F6" s="97"/>
      <c r="G6" s="96"/>
      <c r="H6" s="91">
        <v>0.5</v>
      </c>
      <c r="I6" s="98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3" customHeight="1">
      <c r="A7" s="92" t="s">
        <v>43</v>
      </c>
      <c r="B7" s="93">
        <v>3</v>
      </c>
      <c r="C7" s="99">
        <f>'სამუშაო რვეული'!C85+'სამუშაო რვეული'!C143+'სამუშაო რვეული'!C148+'სამუშაო რვეული'!C153</f>
        <v>102000</v>
      </c>
      <c r="D7" s="95"/>
      <c r="E7" s="96"/>
      <c r="F7" s="97"/>
      <c r="G7" s="96"/>
      <c r="H7" s="91">
        <v>0.5</v>
      </c>
      <c r="I7" s="98"/>
      <c r="J7" s="9"/>
      <c r="K7" s="9"/>
      <c r="L7" s="26"/>
      <c r="M7" s="9"/>
      <c r="N7" s="9"/>
      <c r="O7" s="26"/>
      <c r="P7" s="9"/>
      <c r="Q7" s="25"/>
      <c r="R7" s="9"/>
      <c r="S7" s="9"/>
      <c r="T7" s="9"/>
      <c r="U7" s="9"/>
      <c r="V7" s="9"/>
      <c r="W7" s="9"/>
      <c r="X7" s="9"/>
      <c r="Y7" s="9"/>
      <c r="Z7" s="9"/>
    </row>
    <row r="8" spans="1:29" ht="46.5" customHeight="1">
      <c r="A8" s="84" t="s">
        <v>44</v>
      </c>
      <c r="B8" s="93">
        <v>4</v>
      </c>
      <c r="C8" s="99">
        <f>'სამუშაო რვეული'!C85+'სამუშაო რვეული'!C131+'სამუშაო რვეული'!C197</f>
        <v>73000</v>
      </c>
      <c r="D8" s="95"/>
      <c r="E8" s="96"/>
      <c r="F8" s="97"/>
      <c r="G8" s="96"/>
      <c r="H8" s="91">
        <v>0.5</v>
      </c>
      <c r="I8" s="98"/>
      <c r="J8" s="9"/>
      <c r="K8" s="9"/>
      <c r="L8" s="9"/>
      <c r="M8" s="9"/>
      <c r="N8" s="9"/>
      <c r="O8" s="25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81.75" customHeight="1">
      <c r="A9" s="84" t="s">
        <v>45</v>
      </c>
      <c r="B9" s="93">
        <v>41</v>
      </c>
      <c r="C9" s="100"/>
      <c r="D9" s="95"/>
      <c r="E9" s="96"/>
      <c r="F9" s="97"/>
      <c r="G9" s="96"/>
      <c r="H9" s="91"/>
      <c r="I9" s="98"/>
      <c r="J9" s="9"/>
      <c r="K9" s="9"/>
      <c r="L9" s="9"/>
      <c r="M9" s="25"/>
      <c r="N9" s="9"/>
      <c r="O9" s="9"/>
      <c r="P9" s="26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26.25" thickBot="1">
      <c r="A10" s="92" t="s">
        <v>46</v>
      </c>
      <c r="B10" s="101">
        <v>5</v>
      </c>
      <c r="C10" s="99">
        <f>'სამუშაო რვეული'!C143+'სამუშაო რვეული'!C148+'სამუშაო რვეული'!C153:C153+'სამუშაო რვეული'!C157</f>
        <v>115000</v>
      </c>
      <c r="D10" s="95"/>
      <c r="E10" s="96"/>
      <c r="F10" s="102"/>
      <c r="G10" s="103"/>
      <c r="H10" s="91">
        <v>0.5</v>
      </c>
      <c r="I10" s="9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15.75" thickBot="1">
      <c r="A11" s="104" t="s">
        <v>47</v>
      </c>
      <c r="B11" s="105"/>
      <c r="C11" s="106"/>
      <c r="D11" s="107">
        <v>6</v>
      </c>
      <c r="E11" s="108">
        <f>'სამუშაო რვეული'!C167</f>
        <v>76.271186440677965</v>
      </c>
      <c r="F11" s="107">
        <v>7</v>
      </c>
      <c r="G11" s="109">
        <f>'სამუშაო რვეული'!C172+'სამუშაო რვეული'!C177</f>
        <v>1067.7966101694915</v>
      </c>
      <c r="H11" s="110">
        <v>0.5</v>
      </c>
      <c r="I11" s="1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2"/>
      <c r="X11" s="13"/>
      <c r="Y11" s="11">
        <v>-7</v>
      </c>
      <c r="Z11" s="12"/>
    </row>
    <row r="12" spans="1:29" ht="26.25" thickBot="1">
      <c r="A12" s="92" t="s">
        <v>48</v>
      </c>
      <c r="B12" s="112"/>
      <c r="C12" s="113"/>
      <c r="D12" s="107">
        <v>8</v>
      </c>
      <c r="E12" s="108">
        <f>'სამუშაო რვეული'!C185+'სამუშაო რვეული'!C192+'სამუშაო რვეული'!C198+'სამუშაო რვეული'!C203+'სამუშაო რვეული'!C210+'სამუშაო რვეული'!C217</f>
        <v>18757.763999999999</v>
      </c>
      <c r="F12" s="107"/>
      <c r="G12" s="114"/>
      <c r="H12" s="110">
        <v>0.5</v>
      </c>
      <c r="I12" s="111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6"/>
      <c r="X12" s="16"/>
      <c r="Y12" s="16"/>
      <c r="Z12" s="16"/>
    </row>
    <row r="13" spans="1:29" ht="26.25" thickBot="1">
      <c r="A13" s="92" t="s">
        <v>49</v>
      </c>
      <c r="B13" s="459"/>
      <c r="C13" s="459"/>
      <c r="D13" s="101">
        <v>9</v>
      </c>
      <c r="E13" s="100"/>
      <c r="F13" s="101">
        <v>10</v>
      </c>
      <c r="G13" s="115"/>
      <c r="H13" s="91"/>
      <c r="I13" s="1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3"/>
      <c r="W13" s="11">
        <v>-9</v>
      </c>
      <c r="X13" s="12"/>
      <c r="Y13" s="13"/>
      <c r="Z13" s="11">
        <v>-10</v>
      </c>
      <c r="AA13" s="12"/>
    </row>
    <row r="14" spans="1:29" ht="26.25" thickBot="1">
      <c r="A14" s="92" t="s">
        <v>50</v>
      </c>
      <c r="B14" s="459"/>
      <c r="C14" s="459"/>
      <c r="D14" s="101"/>
      <c r="E14" s="96"/>
      <c r="F14" s="101">
        <v>11</v>
      </c>
      <c r="G14" s="88">
        <f>'სამუშაო რვეული'!C186+'სამუშაო რვეული'!C193+'სამუშაო რვეული'!C198+'სამუშაო რვეული'!C204+'სამუშაო რვეული'!C211+'სამუშაო რვეული'!C218+'სამუშაო რვეული'!C227++'სამუშაო რვეული'!C236+'სამუშაო რვეული'!C242+'სამუშაო რვეული'!C255+'სამუშაო რვეული'!C260+'სამუშაო რვეული'!C265+'სამუშაო რვეული'!C271</f>
        <v>94408.754644067798</v>
      </c>
      <c r="H14" s="91">
        <v>0.5</v>
      </c>
      <c r="I14" s="1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461"/>
      <c r="W14" s="462"/>
      <c r="X14" s="12"/>
      <c r="Y14" s="13"/>
      <c r="Z14" s="11">
        <v>-11</v>
      </c>
      <c r="AA14" s="12"/>
    </row>
    <row r="15" spans="1:29" ht="26.25" thickBot="1">
      <c r="A15" s="92" t="s">
        <v>51</v>
      </c>
      <c r="B15" s="459"/>
      <c r="C15" s="459"/>
      <c r="D15" s="101">
        <v>12</v>
      </c>
      <c r="E15" s="117">
        <f>'სამუშაო რვეული'!C279</f>
        <v>457.62711864406782</v>
      </c>
      <c r="F15" s="101">
        <v>13</v>
      </c>
      <c r="G15" s="88">
        <f>'სამუშაო რვეული'!C287</f>
        <v>305.08474576271186</v>
      </c>
      <c r="H15" s="91">
        <v>0.5</v>
      </c>
      <c r="I15" s="11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W15" s="15">
        <v>-12</v>
      </c>
      <c r="X15" s="20"/>
      <c r="Y15" s="19"/>
      <c r="Z15" s="15">
        <v>-13</v>
      </c>
      <c r="AA15" s="20"/>
    </row>
    <row r="16" spans="1:29" ht="15.75" thickBot="1">
      <c r="A16" s="118" t="s">
        <v>213</v>
      </c>
      <c r="B16" s="467"/>
      <c r="C16" s="467"/>
      <c r="D16" s="101">
        <v>14</v>
      </c>
      <c r="E16" s="117">
        <f>'სამუშაო რვეული'!C297</f>
        <v>228.81355932203391</v>
      </c>
      <c r="F16" s="101"/>
      <c r="G16" s="119"/>
      <c r="H16" s="91">
        <v>0.5</v>
      </c>
      <c r="I16" s="1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3"/>
      <c r="W16" s="11">
        <v>-14</v>
      </c>
      <c r="X16" s="12"/>
      <c r="Y16" s="461"/>
      <c r="Z16" s="462"/>
      <c r="AA16" s="12"/>
    </row>
    <row r="17" spans="1:27" ht="24.75" thickBot="1">
      <c r="A17" s="84" t="s">
        <v>52</v>
      </c>
      <c r="B17" s="120">
        <v>141</v>
      </c>
      <c r="C17" s="121"/>
      <c r="D17" s="122"/>
      <c r="E17" s="114"/>
      <c r="F17" s="122"/>
      <c r="G17" s="123"/>
      <c r="H17" s="121"/>
      <c r="I17" s="111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456"/>
      <c r="W17" s="457"/>
      <c r="X17" s="20"/>
      <c r="Y17" s="456"/>
      <c r="Z17" s="457"/>
      <c r="AA17" s="20"/>
    </row>
    <row r="18" spans="1:27" ht="15.75" thickBot="1">
      <c r="A18" s="92" t="s">
        <v>53</v>
      </c>
      <c r="B18" s="458"/>
      <c r="C18" s="458"/>
      <c r="D18" s="101">
        <v>15</v>
      </c>
      <c r="E18" s="117">
        <f>SUM(E5:E17)</f>
        <v>89364.106372881361</v>
      </c>
      <c r="F18" s="101">
        <v>16</v>
      </c>
      <c r="G18" s="88">
        <f>SUM(G11:G17)</f>
        <v>95781.635999999999</v>
      </c>
      <c r="H18" s="91">
        <v>0.5</v>
      </c>
      <c r="I18" s="1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3"/>
      <c r="W18" s="11">
        <v>-15</v>
      </c>
      <c r="X18" s="12"/>
      <c r="Y18" s="13"/>
      <c r="Z18" s="11">
        <v>-16</v>
      </c>
      <c r="AA18" s="12"/>
    </row>
    <row r="19" spans="1:27" ht="39" thickBot="1">
      <c r="A19" s="92" t="s">
        <v>54</v>
      </c>
      <c r="B19" s="459"/>
      <c r="C19" s="459"/>
      <c r="D19" s="101">
        <v>17</v>
      </c>
      <c r="E19" s="117"/>
      <c r="F19" s="101"/>
      <c r="G19" s="100"/>
      <c r="H19" s="460">
        <v>0.5</v>
      </c>
      <c r="I19" s="1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3"/>
      <c r="W19" s="11">
        <v>-17</v>
      </c>
      <c r="X19" s="12"/>
      <c r="Y19" s="461"/>
      <c r="Z19" s="462"/>
      <c r="AA19" s="12"/>
    </row>
    <row r="20" spans="1:27" ht="39" thickBot="1">
      <c r="A20" s="124" t="s">
        <v>55</v>
      </c>
      <c r="B20" s="463"/>
      <c r="C20" s="464"/>
      <c r="D20" s="125"/>
      <c r="E20" s="126"/>
      <c r="F20" s="127">
        <v>18</v>
      </c>
      <c r="G20" s="128">
        <f>G18-E18</f>
        <v>6417.529627118638</v>
      </c>
      <c r="H20" s="460"/>
      <c r="I20" s="11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456"/>
      <c r="W20" s="457"/>
      <c r="X20" s="20"/>
      <c r="Y20" s="19"/>
      <c r="Z20" s="15">
        <v>-18</v>
      </c>
      <c r="AA20" s="16"/>
    </row>
  </sheetData>
  <mergeCells count="23">
    <mergeCell ref="B16:C16"/>
    <mergeCell ref="Y16:Z16"/>
    <mergeCell ref="A1:I1"/>
    <mergeCell ref="B2:D2"/>
    <mergeCell ref="A3:C3"/>
    <mergeCell ref="D3:E3"/>
    <mergeCell ref="F3:G3"/>
    <mergeCell ref="A4:C4"/>
    <mergeCell ref="D4:E4"/>
    <mergeCell ref="F4:G4"/>
    <mergeCell ref="AB4:AC4"/>
    <mergeCell ref="B13:C13"/>
    <mergeCell ref="B14:C14"/>
    <mergeCell ref="V14:W14"/>
    <mergeCell ref="B15:C15"/>
    <mergeCell ref="V17:W17"/>
    <mergeCell ref="Y17:Z17"/>
    <mergeCell ref="B18:C18"/>
    <mergeCell ref="B19:C19"/>
    <mergeCell ref="H19:H20"/>
    <mergeCell ref="Y19:Z19"/>
    <mergeCell ref="B20:C20"/>
    <mergeCell ref="V20:W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სამუშაო რვეული</vt:lpstr>
      <vt:lpstr>დეკლარაცია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Temuri</cp:lastModifiedBy>
  <cp:lastPrinted>2022-11-24T07:10:18Z</cp:lastPrinted>
  <dcterms:created xsi:type="dcterms:W3CDTF">2022-04-16T10:35:56Z</dcterms:created>
  <dcterms:modified xsi:type="dcterms:W3CDTF">2023-12-15T11:47:03Z</dcterms:modified>
</cp:coreProperties>
</file>